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602 PO4570\"/>
    </mc:Choice>
  </mc:AlternateContent>
  <bookViews>
    <workbookView xWindow="0" yWindow="0" windowWidth="14070" windowHeight="10800"/>
  </bookViews>
  <sheets>
    <sheet name="Travel and Expense" sheetId="1" r:id="rId1"/>
    <sheet name="Weekday" sheetId="4" r:id="rId2"/>
    <sheet name="GUIDELINES" sheetId="3" r:id="rId3"/>
  </sheets>
  <calcPr calcId="152511" concurrentCalc="0"/>
</workbook>
</file>

<file path=xl/calcChain.xml><?xml version="1.0" encoding="utf-8"?>
<calcChain xmlns="http://schemas.openxmlformats.org/spreadsheetml/2006/main">
  <c r="C34" i="1" l="1"/>
  <c r="C33" i="1"/>
  <c r="C32" i="1"/>
  <c r="C31" i="1"/>
  <c r="C30" i="1"/>
  <c r="C29" i="1"/>
  <c r="C28" i="1"/>
  <c r="C27" i="1"/>
  <c r="C26" i="1"/>
  <c r="C25" i="1"/>
  <c r="C24" i="1"/>
  <c r="J26" i="1"/>
  <c r="M33" i="1"/>
  <c r="AA33" i="1"/>
  <c r="I33" i="1"/>
  <c r="H33" i="1"/>
  <c r="AH33" i="1"/>
  <c r="B33" i="1"/>
  <c r="M32" i="1"/>
  <c r="AA32" i="1"/>
  <c r="I32" i="1"/>
  <c r="H32" i="1"/>
  <c r="AH32" i="1"/>
  <c r="B32" i="1"/>
  <c r="M31" i="1"/>
  <c r="AA31" i="1"/>
  <c r="I31" i="1"/>
  <c r="H31" i="1"/>
  <c r="AH31" i="1"/>
  <c r="B31" i="1"/>
  <c r="M30" i="1"/>
  <c r="AA30" i="1"/>
  <c r="I30" i="1"/>
  <c r="H30" i="1"/>
  <c r="AH30" i="1"/>
  <c r="B30" i="1"/>
  <c r="M29" i="1"/>
  <c r="AA29" i="1"/>
  <c r="I29" i="1"/>
  <c r="H29" i="1"/>
  <c r="AH29" i="1"/>
  <c r="B29" i="1"/>
  <c r="AH34" i="1"/>
  <c r="Z21" i="1"/>
  <c r="M25" i="1"/>
  <c r="H25" i="1"/>
  <c r="AH25" i="1"/>
  <c r="H22" i="1"/>
  <c r="AH22" i="1"/>
  <c r="AA25" i="1"/>
  <c r="I25" i="1"/>
  <c r="B25" i="1"/>
  <c r="M28" i="1"/>
  <c r="AA28" i="1"/>
  <c r="I28" i="1"/>
  <c r="H28" i="1"/>
  <c r="AH28" i="1"/>
  <c r="B28" i="1"/>
  <c r="M23" i="1"/>
  <c r="C23" i="1"/>
  <c r="B23" i="1"/>
  <c r="M24" i="1"/>
  <c r="B24" i="1"/>
  <c r="B26" i="1"/>
  <c r="M26" i="1"/>
  <c r="B27" i="1"/>
  <c r="M27" i="1"/>
  <c r="B34" i="1"/>
  <c r="I34" i="1"/>
  <c r="M34" i="1"/>
  <c r="C22" i="1"/>
  <c r="B22" i="1"/>
  <c r="X35" i="1"/>
  <c r="W35" i="1"/>
  <c r="V35" i="1"/>
  <c r="U35" i="1"/>
  <c r="T35" i="1"/>
  <c r="S35" i="1"/>
  <c r="R35" i="1"/>
  <c r="Q35" i="1"/>
  <c r="P35" i="1"/>
  <c r="O35" i="1"/>
  <c r="L35" i="1"/>
  <c r="K35" i="1"/>
  <c r="J35" i="1"/>
  <c r="N35" i="1"/>
  <c r="M22" i="1"/>
  <c r="W40" i="1"/>
  <c r="W39" i="1"/>
  <c r="W49" i="1"/>
  <c r="AA34" i="1"/>
  <c r="AA23" i="1"/>
  <c r="I23" i="1"/>
  <c r="H23" i="1"/>
  <c r="AH23" i="1"/>
  <c r="Z35" i="1"/>
  <c r="AA22" i="1"/>
  <c r="AA27" i="1"/>
  <c r="I27" i="1"/>
  <c r="H27" i="1"/>
  <c r="AH27" i="1"/>
  <c r="AA26" i="1"/>
  <c r="I26" i="1"/>
  <c r="H26" i="1"/>
  <c r="AH26" i="1"/>
  <c r="M35" i="1"/>
  <c r="AA24" i="1"/>
  <c r="I24" i="1"/>
  <c r="H24" i="1"/>
  <c r="AH24" i="1"/>
  <c r="AA35" i="1"/>
  <c r="C10" i="1"/>
  <c r="W38" i="1"/>
  <c r="W42" i="1"/>
  <c r="W48" i="1"/>
  <c r="W45"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<sst xmlns="http://schemas.openxmlformats.org/spreadsheetml/2006/main" count="188" uniqueCount="127">
  <si>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</si>
  <si>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</si>
  <si>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</si>
  <si>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</si>
  <si>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</si>
  <si>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</si>
  <si>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</si>
  <si>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</si>
  <si>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</si>
  <si>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</si>
  <si>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</si>
  <si>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</si>
  <si>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</si>
  <si>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</si>
  <si>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</si>
  <si>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</si>
  <si>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</si>
  <si>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</si>
  <si>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</si>
  <si>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</si>
  <si>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</si>
  <si>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</si>
  <si>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</si>
  <si>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</si>
  <si>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</si>
  <si>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</si>
  <si>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</si>
  <si>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</si>
  <si>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</si>
  <si>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</si>
  <si>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</si>
  <si>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</si>
  <si>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</si>
  <si>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</si>
  <si>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</si>
  <si>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</si>
  <si>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</si>
  <si>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</si>
  <si>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</si>
  <si>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</si>
  <si>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</si>
  <si>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</si>
  <si>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</si>
  <si>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</si>
  <si>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</si>
  <si>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</si>
  <si>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</si>
  <si>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</si>
  <si>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</si>
  <si>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</si>
  <si>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</si>
  <si>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</si>
  <si>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</si>
  <si>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</si>
  <si>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</si>
  <si>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</si>
  <si>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</si>
  <si>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</si>
  <si>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</si>
  <si>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</si>
  <si>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</si>
  <si>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</si>
  <si>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</si>
  <si>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</si>
  <si>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</si>
  <si>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</si>
  <si>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</si>
  <si>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</si>
  <si>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</si>
  <si>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</si>
  <si>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</si>
  <si>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</si>
  <si>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</si>
  <si>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</si>
  <si>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</si>
  <si>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</si>
  <si>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</si>
  <si>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</si>
  <si>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</si>
  <si>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</si>
  <si>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</si>
  <si>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</si>
  <si>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</si>
  <si>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</si>
  <si>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</si>
  <si>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</si>
  <si>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</si>
  <si>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</si>
  <si>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</si>
  <si>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</si>
  <si>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</si>
  <si>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</si>
  <si>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</si>
  <si>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</si>
  <si>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</si>
  <si>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</si>
  <si>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</si>
  <si>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</si>
  <si>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</si>
  <si>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</si>
  <si>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</si>
  <si>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</si>
  <si>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</si>
  <si>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</si>
  <si>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</si>
  <si>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</si>
  <si>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Metrie</t>
  </si>
  <si>
    <t>Westjet Airlines</t>
  </si>
  <si>
    <t>Egencia</t>
  </si>
  <si>
    <t>HMS Hosts Calgary</t>
  </si>
  <si>
    <t>Lunch</t>
  </si>
  <si>
    <t>Dinner</t>
  </si>
  <si>
    <t>Tap and Barrell</t>
  </si>
  <si>
    <t>Fresh Counter and Catering</t>
  </si>
  <si>
    <t>IC270 - INT_NA_Metrie-DM-02/22/16</t>
  </si>
  <si>
    <t>Airfare to Vancouver</t>
  </si>
  <si>
    <t>Agency fee on arifare</t>
  </si>
  <si>
    <t>MET-02-001</t>
  </si>
  <si>
    <t>Baggage fee</t>
  </si>
  <si>
    <t>MET-02-001a</t>
  </si>
  <si>
    <t>Breakfast - Starbucks</t>
  </si>
  <si>
    <t>MET-02-002</t>
  </si>
  <si>
    <t>Bonny's Taxi</t>
  </si>
  <si>
    <t>Taxi from airport to downtown</t>
  </si>
  <si>
    <t>MET-02-003</t>
  </si>
  <si>
    <t>MET-02-004</t>
  </si>
  <si>
    <t xml:space="preserve">MET-02-005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</si>
</sst>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5">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1" xfId="0" applyNumberFormat="1" applyFont="1" applyFill="1" applyBorder="1" applyAlignment="1">
      <alignment horizontal="center"/>
    </xf>
    <xf numFmtId="0" fontId="10" fillId="12" borderId="42"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3" borderId="42" xfId="0" applyFont="1" applyFill="1" applyBorder="1" applyAlignment="1">
      <alignment horizontal="center" wrapText="1"/>
    </xf>
    <xf numFmtId="0" fontId="10" fillId="13" borderId="45" xfId="0" applyFont="1" applyFill="1" applyBorder="1" applyAlignment="1">
      <alignment horizontal="center" wrapText="1"/>
    </xf>
    <xf numFmtId="0" fontId="10" fillId="17" borderId="45"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6" fillId="18" borderId="0" xfId="0" applyFont="1" applyFill="1" applyAlignment="1">
      <alignment vertical="center" wrapText="1"/>
    </xf>
    <xf numFmtId="0" fontId="10" fillId="12" borderId="47" xfId="0" applyFont="1" applyFill="1" applyBorder="1" applyAlignment="1">
      <alignment horizontal="center" vertical="center" wrapText="1"/>
    </xf>
    <xf numFmtId="0" fontId="10" fillId="12" borderId="48" xfId="0" applyFont="1" applyFill="1" applyBorder="1" applyAlignment="1">
      <alignment horizontal="center" vertical="center" wrapText="1"/>
    </xf>
    <xf numFmtId="0" fontId="10" fillId="13" borderId="47" xfId="0" applyFont="1" applyFill="1" applyBorder="1" applyAlignment="1">
      <alignment horizontal="center" wrapText="1"/>
    </xf>
    <xf numFmtId="0" fontId="10" fillId="13" borderId="28" xfId="0" applyFont="1" applyFill="1" applyBorder="1" applyAlignment="1">
      <alignment horizontal="center" wrapText="1"/>
    </xf>
    <xf numFmtId="0" fontId="10" fillId="14" borderId="49"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2" xfId="0" applyFont="1" applyFill="1" applyBorder="1" applyAlignment="1">
      <alignment horizontal="center"/>
    </xf>
    <xf numFmtId="0" fontId="10" fillId="10" borderId="53" xfId="0" applyFont="1" applyFill="1" applyBorder="1" applyAlignment="1">
      <alignment horizontal="center"/>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39"/>
  <sheetViews>
    <sheetView showGridLines="0" showZeros="0" tabSelected="1" zoomScale="110" zoomScaleNormal="110" workbookViewId="0">
      <pane xSplit="5" topLeftCell="F1" activePane="topRight" state="frozen"/>
      <selection activeCell="A8" sqref="A8"/>
      <selection pane="topRight" activeCell="C13" sqref="C13:D13"/>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4.85546875" style="1" customWidth="1"/>
    <col min="34" max="16384" width="11.42578125" style="1"/>
  </cols>
  <sheetData>
    <row r="3" spans="2:32" ht="15" customHeight="1" x14ac:dyDescent="0.25">
      <c r="D3" s="128" t="s">
        <v>0</v>
      </c>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5" spans="2:32" ht="12" thickBot="1" x14ac:dyDescent="0.25"/>
    <row r="6" spans="2:32" ht="12" thickBot="1" x14ac:dyDescent="0.25">
      <c r="B6" s="129" t="s">
        <v>1</v>
      </c>
      <c r="C6" s="130"/>
      <c r="D6" s="131"/>
      <c r="E6" s="17"/>
      <c r="G6" s="8" t="s">
        <v>2</v>
      </c>
      <c r="H6" s="7"/>
      <c r="I6" s="7"/>
      <c r="J6" s="132">
        <v>42434</v>
      </c>
      <c r="K6" s="132"/>
      <c r="L6" s="33" t="s">
        <v>3</v>
      </c>
      <c r="M6" s="32"/>
      <c r="N6" s="5"/>
      <c r="O6" s="5"/>
      <c r="R6" s="39"/>
      <c r="S6" s="5"/>
      <c r="T6" s="5"/>
      <c r="U6" s="5"/>
    </row>
    <row r="7" spans="2:32" ht="15" x14ac:dyDescent="0.25">
      <c r="B7" s="40" t="s">
        <v>4</v>
      </c>
      <c r="C7" s="133" t="s">
        <v>5</v>
      </c>
      <c r="D7" s="134"/>
      <c r="E7" s="17"/>
      <c r="G7" s="4"/>
      <c r="H7" s="4"/>
      <c r="I7" s="4"/>
      <c r="J7" s="4"/>
      <c r="K7" s="4"/>
      <c r="L7" s="4"/>
      <c r="M7" s="5"/>
      <c r="N7" s="5"/>
      <c r="O7" s="5"/>
      <c r="R7" s="41"/>
      <c r="S7" s="5"/>
      <c r="T7" s="5"/>
      <c r="U7" s="5"/>
    </row>
    <row r="8" spans="2:32" x14ac:dyDescent="0.2">
      <c r="B8" s="40"/>
      <c r="C8" s="133"/>
      <c r="D8" s="134"/>
      <c r="E8" s="17"/>
      <c r="G8" s="30" t="s">
        <v>6</v>
      </c>
      <c r="H8" s="4"/>
      <c r="I8" s="4"/>
      <c r="J8" s="4"/>
      <c r="K8" s="4"/>
      <c r="L8" s="4"/>
      <c r="M8" s="5"/>
      <c r="N8" s="5"/>
      <c r="O8" s="5"/>
      <c r="R8" s="135"/>
      <c r="S8" s="135"/>
      <c r="T8" s="135"/>
      <c r="U8" s="5"/>
    </row>
    <row r="9" spans="2:32" x14ac:dyDescent="0.2">
      <c r="B9" s="40" t="s">
        <v>7</v>
      </c>
      <c r="C9" s="133" t="s">
        <v>114</v>
      </c>
      <c r="D9" s="134"/>
      <c r="E9" s="17"/>
      <c r="G9" s="30"/>
      <c r="H9" s="4"/>
      <c r="I9" s="4"/>
      <c r="J9" s="4"/>
      <c r="K9" s="4"/>
      <c r="L9" s="4"/>
      <c r="M9" s="5"/>
      <c r="N9" s="5"/>
      <c r="O9" s="5"/>
      <c r="R9" s="42"/>
      <c r="S9" s="5"/>
      <c r="T9" s="5"/>
      <c r="U9" s="5"/>
    </row>
    <row r="10" spans="2:32" x14ac:dyDescent="0.2">
      <c r="B10" s="10" t="s">
        <v>8</v>
      </c>
      <c r="C10" s="139">
        <f>AA35</f>
        <v>697.09</v>
      </c>
      <c r="D10" s="140"/>
      <c r="E10" s="17"/>
      <c r="G10" s="30" t="s">
        <v>9</v>
      </c>
      <c r="H10" s="4"/>
      <c r="I10" s="4"/>
      <c r="J10" s="4"/>
      <c r="K10" s="4"/>
      <c r="L10" s="2"/>
      <c r="M10" s="5"/>
      <c r="N10" s="5"/>
      <c r="O10" s="5"/>
      <c r="R10" s="42"/>
      <c r="S10" s="5"/>
      <c r="T10" s="5"/>
      <c r="U10" s="5"/>
    </row>
    <row r="11" spans="2:32" x14ac:dyDescent="0.2">
      <c r="B11" s="40" t="s">
        <v>10</v>
      </c>
      <c r="C11" s="133" t="s">
        <v>106</v>
      </c>
      <c r="D11" s="134"/>
      <c r="E11" s="17"/>
      <c r="G11" s="31" t="s">
        <v>11</v>
      </c>
      <c r="H11" s="2"/>
      <c r="I11" s="2"/>
      <c r="J11" s="2"/>
      <c r="K11" s="2"/>
      <c r="L11" s="4"/>
      <c r="M11" s="5"/>
      <c r="N11" s="5"/>
      <c r="O11" s="5"/>
      <c r="R11" s="42"/>
      <c r="S11" s="5"/>
      <c r="T11" s="5"/>
      <c r="U11" s="5"/>
    </row>
    <row r="12" spans="2:32" x14ac:dyDescent="0.2">
      <c r="B12" s="40" t="s">
        <v>12</v>
      </c>
      <c r="C12" s="133" t="s">
        <v>13</v>
      </c>
      <c r="D12" s="134"/>
      <c r="E12" s="17"/>
      <c r="G12" s="30"/>
      <c r="H12" s="4"/>
      <c r="I12" s="4"/>
      <c r="J12" s="4"/>
      <c r="K12" s="4"/>
      <c r="L12" s="4"/>
      <c r="M12" s="5"/>
      <c r="N12" s="5"/>
      <c r="O12" s="5"/>
    </row>
    <row r="13" spans="2:32" ht="12" thickBot="1" x14ac:dyDescent="0.25">
      <c r="B13" s="9" t="s">
        <v>14</v>
      </c>
      <c r="C13" s="141">
        <v>4780</v>
      </c>
      <c r="D13" s="142"/>
      <c r="E13" s="17"/>
      <c r="G13" s="30" t="s">
        <v>15</v>
      </c>
      <c r="H13" s="4"/>
      <c r="I13" s="4"/>
      <c r="J13" s="4"/>
      <c r="K13" s="4"/>
    </row>
    <row r="14" spans="2:32" ht="12" thickBot="1" x14ac:dyDescent="0.25">
      <c r="B14" s="43"/>
      <c r="C14" s="44"/>
      <c r="D14" s="45"/>
      <c r="E14" s="17"/>
      <c r="F14" s="46" t="s">
        <v>16</v>
      </c>
      <c r="G14" s="47"/>
      <c r="H14" s="48"/>
      <c r="I14" s="48"/>
      <c r="J14" s="49"/>
      <c r="K14" s="4"/>
    </row>
    <row r="15" spans="2:32" ht="15.75" thickBot="1" x14ac:dyDescent="0.3">
      <c r="B15" s="11" t="s">
        <v>17</v>
      </c>
      <c r="C15" s="143"/>
      <c r="D15" s="144"/>
      <c r="E15" s="17"/>
      <c r="F15" s="15" t="s">
        <v>18</v>
      </c>
    </row>
    <row r="16" spans="2:32" ht="15" x14ac:dyDescent="0.25">
      <c r="B16" s="50"/>
      <c r="C16" s="17"/>
      <c r="D16" s="17"/>
      <c r="E16" s="17"/>
      <c r="F16" s="15" t="s">
        <v>19</v>
      </c>
    </row>
    <row r="17" spans="2:34" ht="15" x14ac:dyDescent="0.25">
      <c r="B17" s="50"/>
      <c r="C17" s="17"/>
      <c r="D17" s="17"/>
      <c r="E17" s="17"/>
      <c r="F17" s="15"/>
    </row>
    <row r="18" spans="2:34" ht="12" thickBot="1" x14ac:dyDescent="0.25">
      <c r="B18" s="2"/>
      <c r="C18" s="3"/>
      <c r="D18" s="3"/>
      <c r="E18" s="3"/>
    </row>
    <row r="19" spans="2:34" ht="12" thickBot="1" x14ac:dyDescent="0.25">
      <c r="F19" s="136" t="s">
        <v>20</v>
      </c>
      <c r="G19" s="137"/>
      <c r="H19" s="137"/>
      <c r="I19" s="138"/>
    </row>
    <row r="20" spans="2:34" ht="57" thickBot="1" x14ac:dyDescent="0.25">
      <c r="B20" s="99" t="s">
        <v>21</v>
      </c>
      <c r="C20" s="103" t="s">
        <v>22</v>
      </c>
      <c r="D20" s="104" t="s">
        <v>23</v>
      </c>
      <c r="E20" s="105" t="s">
        <v>24</v>
      </c>
      <c r="F20" s="100" t="s">
        <v>25</v>
      </c>
      <c r="G20" s="101" t="s">
        <v>26</v>
      </c>
      <c r="H20" s="102" t="s">
        <v>27</v>
      </c>
      <c r="I20" s="106" t="s">
        <v>102</v>
      </c>
      <c r="J20" s="99" t="s">
        <v>28</v>
      </c>
      <c r="K20" s="107" t="s">
        <v>29</v>
      </c>
      <c r="L20" s="108" t="s">
        <v>30</v>
      </c>
      <c r="M20" s="109" t="s">
        <v>31</v>
      </c>
      <c r="N20" s="99" t="s">
        <v>32</v>
      </c>
      <c r="O20" s="107" t="s">
        <v>33</v>
      </c>
      <c r="P20" s="107" t="s">
        <v>34</v>
      </c>
      <c r="Q20" s="107" t="s">
        <v>35</v>
      </c>
      <c r="R20" s="107" t="s">
        <v>36</v>
      </c>
      <c r="S20" s="107" t="s">
        <v>37</v>
      </c>
      <c r="T20" s="107" t="s">
        <v>38</v>
      </c>
      <c r="U20" s="107" t="s">
        <v>39</v>
      </c>
      <c r="V20" s="107" t="s">
        <v>40</v>
      </c>
      <c r="W20" s="107" t="s">
        <v>41</v>
      </c>
      <c r="X20" s="107" t="s">
        <v>42</v>
      </c>
      <c r="Y20" s="107" t="s">
        <v>43</v>
      </c>
      <c r="Z20" s="51" t="s">
        <v>44</v>
      </c>
      <c r="AA20" s="109" t="s">
        <v>45</v>
      </c>
      <c r="AB20" s="99" t="s">
        <v>46</v>
      </c>
      <c r="AC20" s="107" t="s">
        <v>47</v>
      </c>
      <c r="AD20" s="107" t="s">
        <v>48</v>
      </c>
      <c r="AE20" s="107" t="s">
        <v>49</v>
      </c>
      <c r="AF20" s="107" t="s">
        <v>50</v>
      </c>
      <c r="AG20" s="110" t="s">
        <v>103</v>
      </c>
      <c r="AH20" s="111" t="s">
        <v>104</v>
      </c>
    </row>
    <row r="21" spans="2:34" ht="12" thickBot="1" x14ac:dyDescent="0.25">
      <c r="B21" s="112"/>
      <c r="C21" s="113"/>
      <c r="D21" s="114"/>
      <c r="E21" s="115"/>
      <c r="F21" s="116"/>
      <c r="G21" s="117"/>
      <c r="H21" s="118"/>
      <c r="I21" s="119"/>
      <c r="J21" s="112"/>
      <c r="K21" s="120"/>
      <c r="L21" s="121"/>
      <c r="M21" s="122"/>
      <c r="N21" s="112"/>
      <c r="O21" s="120"/>
      <c r="P21" s="120"/>
      <c r="Q21" s="120"/>
      <c r="R21" s="120"/>
      <c r="S21" s="120"/>
      <c r="T21" s="120"/>
      <c r="U21" s="120"/>
      <c r="V21" s="120"/>
      <c r="W21" s="120"/>
      <c r="X21" s="120"/>
      <c r="Y21" s="120"/>
      <c r="Z21" s="123">
        <f>0.555*1.41</f>
        <v>0.78255000000000008</v>
      </c>
      <c r="AA21" s="124"/>
      <c r="AB21" s="112"/>
      <c r="AC21" s="120"/>
      <c r="AD21" s="120"/>
      <c r="AE21" s="120"/>
      <c r="AF21" s="120"/>
      <c r="AG21" s="125"/>
      <c r="AH21" s="111"/>
    </row>
    <row r="22" spans="2:34" x14ac:dyDescent="0.2">
      <c r="B22" s="88" t="str">
        <f>VLOOKUP(WEEKDAY(C22),Weekday!$A$1:$B$7,2,FALSE)</f>
        <v>SUN</v>
      </c>
      <c r="C22" s="53">
        <f>$J$6-6</f>
        <v>42428</v>
      </c>
      <c r="D22" s="54"/>
      <c r="E22" s="93"/>
      <c r="F22" s="89"/>
      <c r="G22" s="90"/>
      <c r="H22" s="91">
        <f>IF(ISBLANK(F22),0,I22/F22)</f>
        <v>0</v>
      </c>
      <c r="I22" s="92"/>
      <c r="J22" s="67"/>
      <c r="K22" s="68"/>
      <c r="L22" s="69"/>
      <c r="M22" s="70">
        <f t="shared" ref="M22:M27" si="0">SUM(J22:L22)</f>
        <v>0</v>
      </c>
      <c r="N22" s="71"/>
      <c r="O22" s="72"/>
      <c r="P22" s="72"/>
      <c r="Q22" s="72"/>
      <c r="R22" s="72"/>
      <c r="S22" s="72"/>
      <c r="T22" s="72"/>
      <c r="U22" s="72"/>
      <c r="V22" s="72"/>
      <c r="W22" s="72"/>
      <c r="X22" s="72"/>
      <c r="Y22" s="86"/>
      <c r="Z22" s="75"/>
      <c r="AA22" s="74">
        <f t="shared" ref="AA22:AA27" si="1">SUM(M22,N22:X22,Z22)</f>
        <v>0</v>
      </c>
      <c r="AB22" s="57" t="s">
        <v>76</v>
      </c>
      <c r="AC22" s="58" t="s">
        <v>53</v>
      </c>
      <c r="AD22" s="58"/>
      <c r="AE22" s="58" t="s">
        <v>54</v>
      </c>
      <c r="AF22" s="52" t="s">
        <v>106</v>
      </c>
      <c r="AG22" s="126"/>
      <c r="AH22" s="111">
        <f>IF(H22&gt;0,1,0)</f>
        <v>0</v>
      </c>
    </row>
    <row r="23" spans="2:34" ht="12" customHeight="1" x14ac:dyDescent="0.2">
      <c r="B23" s="34" t="str">
        <f>VLOOKUP(WEEKDAY(C23),Weekday!$A$1:$B$7,2,FALSE)</f>
        <v>MON</v>
      </c>
      <c r="C23" s="53">
        <f t="shared" ref="C23:C29" si="2">$J$6-5</f>
        <v>42429</v>
      </c>
      <c r="D23" s="54" t="s">
        <v>107</v>
      </c>
      <c r="E23" s="93" t="s">
        <v>115</v>
      </c>
      <c r="F23" s="55">
        <v>398</v>
      </c>
      <c r="G23" s="56" t="s">
        <v>105</v>
      </c>
      <c r="H23" s="94">
        <f t="shared" ref="H23:H28" si="3">IF(ISBLANK(F23),0,I23/F23)</f>
        <v>1.4140703517587938</v>
      </c>
      <c r="I23" s="92">
        <f t="shared" ref="I23:I28" si="4">AA23</f>
        <v>562.79999999999995</v>
      </c>
      <c r="J23" s="71"/>
      <c r="K23" s="72"/>
      <c r="L23" s="69"/>
      <c r="M23" s="74">
        <f t="shared" si="0"/>
        <v>0</v>
      </c>
      <c r="N23" s="71"/>
      <c r="O23" s="72"/>
      <c r="P23" s="72">
        <v>562.79999999999995</v>
      </c>
      <c r="Q23" s="72"/>
      <c r="R23" s="72"/>
      <c r="S23" s="72"/>
      <c r="T23" s="72"/>
      <c r="U23" s="72"/>
      <c r="V23" s="72"/>
      <c r="W23" s="72"/>
      <c r="X23" s="72"/>
      <c r="Y23" s="86"/>
      <c r="Z23" s="75"/>
      <c r="AA23" s="74">
        <f t="shared" si="1"/>
        <v>562.79999999999995</v>
      </c>
      <c r="AB23" s="57" t="s">
        <v>76</v>
      </c>
      <c r="AC23" s="58" t="s">
        <v>53</v>
      </c>
      <c r="AD23" s="58"/>
      <c r="AE23" s="58" t="s">
        <v>54</v>
      </c>
      <c r="AF23" s="52" t="s">
        <v>106</v>
      </c>
      <c r="AG23" s="126" t="s">
        <v>117</v>
      </c>
      <c r="AH23" s="111">
        <f t="shared" ref="AH23:AH34" si="5">IF(H23&gt;0,1,0)</f>
        <v>1</v>
      </c>
    </row>
    <row r="24" spans="2:34" x14ac:dyDescent="0.2">
      <c r="B24" s="34" t="str">
        <f>VLOOKUP(WEEKDAY(C24),Weekday!$A$1:$B$7,2,FALSE)</f>
        <v>MON</v>
      </c>
      <c r="C24" s="53">
        <f t="shared" si="2"/>
        <v>42429</v>
      </c>
      <c r="D24" s="54" t="s">
        <v>108</v>
      </c>
      <c r="E24" s="93" t="s">
        <v>116</v>
      </c>
      <c r="F24" s="55">
        <v>5</v>
      </c>
      <c r="G24" s="56" t="s">
        <v>105</v>
      </c>
      <c r="H24" s="94">
        <f t="shared" si="3"/>
        <v>1.4140000000000001</v>
      </c>
      <c r="I24" s="92">
        <f t="shared" si="4"/>
        <v>7.07</v>
      </c>
      <c r="J24" s="71"/>
      <c r="K24" s="72"/>
      <c r="L24" s="69"/>
      <c r="M24" s="74">
        <f t="shared" si="0"/>
        <v>0</v>
      </c>
      <c r="N24" s="71"/>
      <c r="O24" s="72"/>
      <c r="P24" s="72">
        <v>7.07</v>
      </c>
      <c r="Q24" s="72"/>
      <c r="R24" s="72"/>
      <c r="S24" s="72"/>
      <c r="T24" s="72"/>
      <c r="U24" s="72"/>
      <c r="V24" s="72"/>
      <c r="W24" s="72"/>
      <c r="X24" s="72"/>
      <c r="Y24" s="86"/>
      <c r="Z24" s="75"/>
      <c r="AA24" s="74">
        <f t="shared" si="1"/>
        <v>7.07</v>
      </c>
      <c r="AB24" s="57" t="s">
        <v>76</v>
      </c>
      <c r="AC24" s="58" t="s">
        <v>53</v>
      </c>
      <c r="AD24" s="58"/>
      <c r="AE24" s="58" t="s">
        <v>54</v>
      </c>
      <c r="AF24" s="52" t="s">
        <v>106</v>
      </c>
      <c r="AG24" s="126" t="s">
        <v>117</v>
      </c>
      <c r="AH24" s="111">
        <f t="shared" si="5"/>
        <v>1</v>
      </c>
    </row>
    <row r="25" spans="2:34" x14ac:dyDescent="0.2">
      <c r="B25" s="34" t="str">
        <f>VLOOKUP(WEEKDAY(C25),Weekday!$A$1:$B$7,2,FALSE)</f>
        <v>MON</v>
      </c>
      <c r="C25" s="53">
        <f t="shared" si="2"/>
        <v>42429</v>
      </c>
      <c r="D25" s="54" t="s">
        <v>107</v>
      </c>
      <c r="E25" s="93" t="s">
        <v>118</v>
      </c>
      <c r="F25" s="55"/>
      <c r="G25" s="56"/>
      <c r="H25" s="94">
        <f t="shared" si="3"/>
        <v>0</v>
      </c>
      <c r="I25" s="92">
        <f t="shared" si="4"/>
        <v>26.25</v>
      </c>
      <c r="J25" s="71"/>
      <c r="K25" s="72"/>
      <c r="L25" s="69"/>
      <c r="M25" s="74">
        <f t="shared" si="0"/>
        <v>0</v>
      </c>
      <c r="N25" s="71"/>
      <c r="O25" s="72"/>
      <c r="P25" s="72"/>
      <c r="Q25" s="72">
        <v>26.25</v>
      </c>
      <c r="R25" s="72"/>
      <c r="S25" s="72"/>
      <c r="T25" s="72"/>
      <c r="U25" s="72"/>
      <c r="V25" s="72"/>
      <c r="W25" s="72"/>
      <c r="X25" s="72"/>
      <c r="Y25" s="86"/>
      <c r="Z25" s="75"/>
      <c r="AA25" s="74">
        <f t="shared" ref="AA25" si="6">SUM(M25,N25:X25,Z25)</f>
        <v>26.25</v>
      </c>
      <c r="AB25" s="57" t="s">
        <v>76</v>
      </c>
      <c r="AC25" s="58" t="s">
        <v>53</v>
      </c>
      <c r="AD25" s="58"/>
      <c r="AE25" s="58" t="s">
        <v>54</v>
      </c>
      <c r="AF25" s="52" t="s">
        <v>106</v>
      </c>
      <c r="AG25" s="126" t="s">
        <v>119</v>
      </c>
      <c r="AH25" s="111">
        <f t="shared" si="5"/>
        <v>0</v>
      </c>
    </row>
    <row r="26" spans="2:34" x14ac:dyDescent="0.2">
      <c r="B26" s="34" t="str">
        <f>VLOOKUP(WEEKDAY(C26),Weekday!$A$1:$B$7,2,FALSE)</f>
        <v>MON</v>
      </c>
      <c r="C26" s="53">
        <f t="shared" si="2"/>
        <v>42429</v>
      </c>
      <c r="D26" s="54" t="s">
        <v>109</v>
      </c>
      <c r="E26" s="93" t="s">
        <v>120</v>
      </c>
      <c r="F26" s="55"/>
      <c r="G26" s="56"/>
      <c r="H26" s="94">
        <f t="shared" si="3"/>
        <v>0</v>
      </c>
      <c r="I26" s="92">
        <f t="shared" si="4"/>
        <v>10.82</v>
      </c>
      <c r="J26" s="71">
        <f>2.48+8.34</f>
        <v>10.82</v>
      </c>
      <c r="K26" s="72"/>
      <c r="L26" s="69"/>
      <c r="M26" s="74">
        <f t="shared" si="0"/>
        <v>10.82</v>
      </c>
      <c r="N26" s="71"/>
      <c r="O26" s="72"/>
      <c r="P26" s="72"/>
      <c r="Q26" s="72"/>
      <c r="R26" s="72"/>
      <c r="S26" s="72"/>
      <c r="T26" s="72"/>
      <c r="U26" s="72"/>
      <c r="V26" s="72"/>
      <c r="W26" s="72"/>
      <c r="X26" s="72"/>
      <c r="Y26" s="86"/>
      <c r="Z26" s="75"/>
      <c r="AA26" s="74">
        <f t="shared" si="1"/>
        <v>10.82</v>
      </c>
      <c r="AB26" s="57" t="s">
        <v>76</v>
      </c>
      <c r="AC26" s="58" t="s">
        <v>53</v>
      </c>
      <c r="AD26" s="58"/>
      <c r="AE26" s="58" t="s">
        <v>54</v>
      </c>
      <c r="AF26" s="52" t="s">
        <v>106</v>
      </c>
      <c r="AG26" s="126" t="s">
        <v>121</v>
      </c>
      <c r="AH26" s="111">
        <f t="shared" si="5"/>
        <v>0</v>
      </c>
    </row>
    <row r="27" spans="2:34" ht="22.5" x14ac:dyDescent="0.2">
      <c r="B27" s="34" t="str">
        <f>VLOOKUP(WEEKDAY(C27),Weekday!$A$1:$B$7,2,FALSE)</f>
        <v>MON</v>
      </c>
      <c r="C27" s="53">
        <f t="shared" si="2"/>
        <v>42429</v>
      </c>
      <c r="D27" s="54" t="s">
        <v>122</v>
      </c>
      <c r="E27" s="93" t="s">
        <v>123</v>
      </c>
      <c r="F27" s="55"/>
      <c r="G27" s="56"/>
      <c r="H27" s="94">
        <f t="shared" si="3"/>
        <v>0</v>
      </c>
      <c r="I27" s="92">
        <f t="shared" si="4"/>
        <v>40</v>
      </c>
      <c r="J27" s="71"/>
      <c r="K27" s="72"/>
      <c r="L27" s="73"/>
      <c r="M27" s="74">
        <f t="shared" si="0"/>
        <v>0</v>
      </c>
      <c r="N27" s="71"/>
      <c r="O27" s="72"/>
      <c r="P27" s="72"/>
      <c r="Q27" s="72"/>
      <c r="R27" s="72"/>
      <c r="S27" s="72"/>
      <c r="T27" s="72">
        <v>40</v>
      </c>
      <c r="U27" s="72"/>
      <c r="V27" s="72"/>
      <c r="W27" s="72"/>
      <c r="X27" s="72"/>
      <c r="Y27" s="86"/>
      <c r="Z27" s="75"/>
      <c r="AA27" s="74">
        <f t="shared" si="1"/>
        <v>40</v>
      </c>
      <c r="AB27" s="57" t="s">
        <v>76</v>
      </c>
      <c r="AC27" s="58" t="s">
        <v>53</v>
      </c>
      <c r="AD27" s="58"/>
      <c r="AE27" s="58" t="s">
        <v>54</v>
      </c>
      <c r="AF27" s="52" t="s">
        <v>106</v>
      </c>
      <c r="AG27" s="126" t="s">
        <v>124</v>
      </c>
      <c r="AH27" s="111">
        <f t="shared" si="5"/>
        <v>0</v>
      </c>
    </row>
    <row r="28" spans="2:34" x14ac:dyDescent="0.2">
      <c r="B28" s="34" t="str">
        <f>VLOOKUP(WEEKDAY(C28),Weekday!$A$1:$B$7,2,FALSE)</f>
        <v>MON</v>
      </c>
      <c r="C28" s="53">
        <f t="shared" si="2"/>
        <v>42429</v>
      </c>
      <c r="D28" s="54" t="s">
        <v>113</v>
      </c>
      <c r="E28" s="93" t="s">
        <v>110</v>
      </c>
      <c r="F28" s="55"/>
      <c r="G28" s="56"/>
      <c r="H28" s="94">
        <f t="shared" si="3"/>
        <v>0</v>
      </c>
      <c r="I28" s="92">
        <f t="shared" si="4"/>
        <v>9</v>
      </c>
      <c r="J28" s="71"/>
      <c r="K28" s="72">
        <v>9</v>
      </c>
      <c r="L28" s="73"/>
      <c r="M28" s="74">
        <f t="shared" ref="M28" si="7">SUM(J28:L28)</f>
        <v>9</v>
      </c>
      <c r="N28" s="71"/>
      <c r="O28" s="72"/>
      <c r="P28" s="72"/>
      <c r="Q28" s="72"/>
      <c r="R28" s="72"/>
      <c r="S28" s="72"/>
      <c r="T28" s="72"/>
      <c r="U28" s="72"/>
      <c r="V28" s="72"/>
      <c r="W28" s="72"/>
      <c r="X28" s="72"/>
      <c r="Y28" s="86"/>
      <c r="Z28" s="75"/>
      <c r="AA28" s="74">
        <f t="shared" ref="AA28" si="8">SUM(M28,N28:X28,Z28)</f>
        <v>9</v>
      </c>
      <c r="AB28" s="57" t="s">
        <v>76</v>
      </c>
      <c r="AC28" s="58" t="s">
        <v>53</v>
      </c>
      <c r="AD28" s="58"/>
      <c r="AE28" s="58" t="s">
        <v>54</v>
      </c>
      <c r="AF28" s="52" t="s">
        <v>106</v>
      </c>
      <c r="AG28" s="126" t="s">
        <v>125</v>
      </c>
      <c r="AH28" s="111">
        <f t="shared" si="5"/>
        <v>0</v>
      </c>
    </row>
    <row r="29" spans="2:34" x14ac:dyDescent="0.2">
      <c r="B29" s="34" t="str">
        <f>VLOOKUP(WEEKDAY(C29),Weekday!$A$1:$B$7,2,FALSE)</f>
        <v>MON</v>
      </c>
      <c r="C29" s="53">
        <f t="shared" si="2"/>
        <v>42429</v>
      </c>
      <c r="D29" s="54" t="s">
        <v>112</v>
      </c>
      <c r="E29" s="93" t="s">
        <v>111</v>
      </c>
      <c r="F29" s="55"/>
      <c r="G29" s="56"/>
      <c r="H29" s="94">
        <f t="shared" ref="H29:H33" si="9">IF(ISBLANK(F29),0,I29/F29)</f>
        <v>0</v>
      </c>
      <c r="I29" s="92">
        <f t="shared" ref="I29:I33" si="10">AA29</f>
        <v>41.15</v>
      </c>
      <c r="J29" s="71"/>
      <c r="K29" s="72"/>
      <c r="L29" s="73">
        <v>41.15</v>
      </c>
      <c r="M29" s="74">
        <f t="shared" ref="M29:M33" si="11">SUM(J29:L29)</f>
        <v>41.15</v>
      </c>
      <c r="N29" s="71"/>
      <c r="O29" s="72"/>
      <c r="P29" s="72"/>
      <c r="Q29" s="72"/>
      <c r="R29" s="72"/>
      <c r="S29" s="72"/>
      <c r="T29" s="72"/>
      <c r="U29" s="72"/>
      <c r="V29" s="72"/>
      <c r="W29" s="72"/>
      <c r="X29" s="72"/>
      <c r="Y29" s="86"/>
      <c r="Z29" s="75"/>
      <c r="AA29" s="74">
        <f t="shared" ref="AA29:AA33" si="12">SUM(M29,N29:X29,Z29)</f>
        <v>41.15</v>
      </c>
      <c r="AB29" s="57" t="s">
        <v>76</v>
      </c>
      <c r="AC29" s="58" t="s">
        <v>53</v>
      </c>
      <c r="AD29" s="58"/>
      <c r="AE29" s="58" t="s">
        <v>54</v>
      </c>
      <c r="AF29" s="52" t="s">
        <v>106</v>
      </c>
      <c r="AG29" s="126" t="s">
        <v>126</v>
      </c>
      <c r="AH29" s="111">
        <f t="shared" ref="AH29:AH33" si="13">IF(H29&gt;0,1,0)</f>
        <v>0</v>
      </c>
    </row>
    <row r="30" spans="2:34" x14ac:dyDescent="0.2">
      <c r="B30" s="34" t="str">
        <f>VLOOKUP(WEEKDAY(C30),Weekday!$A$1:$B$7,2,FALSE)</f>
        <v>TUE</v>
      </c>
      <c r="C30" s="53">
        <f>$J$6-4</f>
        <v>42430</v>
      </c>
      <c r="D30" s="54"/>
      <c r="E30" s="93"/>
      <c r="F30" s="55"/>
      <c r="G30" s="56"/>
      <c r="H30" s="94">
        <f t="shared" si="9"/>
        <v>0</v>
      </c>
      <c r="I30" s="92">
        <f t="shared" si="10"/>
        <v>0</v>
      </c>
      <c r="J30" s="71"/>
      <c r="K30" s="72"/>
      <c r="L30" s="73"/>
      <c r="M30" s="74">
        <f t="shared" si="11"/>
        <v>0</v>
      </c>
      <c r="N30" s="71"/>
      <c r="O30" s="72"/>
      <c r="P30" s="72"/>
      <c r="Q30" s="72"/>
      <c r="R30" s="72"/>
      <c r="S30" s="72"/>
      <c r="T30" s="72"/>
      <c r="U30" s="72"/>
      <c r="V30" s="72"/>
      <c r="W30" s="72"/>
      <c r="X30" s="72"/>
      <c r="Y30" s="86"/>
      <c r="Z30" s="75"/>
      <c r="AA30" s="74">
        <f t="shared" si="12"/>
        <v>0</v>
      </c>
      <c r="AB30" s="57" t="s">
        <v>76</v>
      </c>
      <c r="AC30" s="58" t="s">
        <v>53</v>
      </c>
      <c r="AD30" s="58"/>
      <c r="AE30" s="58" t="s">
        <v>54</v>
      </c>
      <c r="AF30" s="52" t="s">
        <v>106</v>
      </c>
      <c r="AG30" s="126"/>
      <c r="AH30" s="111">
        <f t="shared" si="13"/>
        <v>0</v>
      </c>
    </row>
    <row r="31" spans="2:34" x14ac:dyDescent="0.2">
      <c r="B31" s="34" t="str">
        <f>VLOOKUP(WEEKDAY(C31),Weekday!$A$1:$B$7,2,FALSE)</f>
        <v>WED</v>
      </c>
      <c r="C31" s="53">
        <f>$J$6-3</f>
        <v>42431</v>
      </c>
      <c r="D31" s="54"/>
      <c r="E31" s="93"/>
      <c r="F31" s="55"/>
      <c r="G31" s="56"/>
      <c r="H31" s="94">
        <f t="shared" si="9"/>
        <v>0</v>
      </c>
      <c r="I31" s="92">
        <f t="shared" si="10"/>
        <v>0</v>
      </c>
      <c r="J31" s="71"/>
      <c r="K31" s="72"/>
      <c r="L31" s="73"/>
      <c r="M31" s="74">
        <f t="shared" si="11"/>
        <v>0</v>
      </c>
      <c r="N31" s="71"/>
      <c r="O31" s="72"/>
      <c r="P31" s="72"/>
      <c r="Q31" s="72"/>
      <c r="R31" s="72"/>
      <c r="S31" s="72"/>
      <c r="T31" s="72"/>
      <c r="U31" s="72"/>
      <c r="V31" s="72"/>
      <c r="W31" s="72"/>
      <c r="X31" s="72"/>
      <c r="Y31" s="86"/>
      <c r="Z31" s="75"/>
      <c r="AA31" s="74">
        <f t="shared" si="12"/>
        <v>0</v>
      </c>
      <c r="AB31" s="57" t="s">
        <v>76</v>
      </c>
      <c r="AC31" s="58" t="s">
        <v>53</v>
      </c>
      <c r="AD31" s="58"/>
      <c r="AE31" s="58" t="s">
        <v>54</v>
      </c>
      <c r="AF31" s="52" t="s">
        <v>106</v>
      </c>
      <c r="AG31" s="126"/>
      <c r="AH31" s="111">
        <f t="shared" si="13"/>
        <v>0</v>
      </c>
    </row>
    <row r="32" spans="2:34" x14ac:dyDescent="0.2">
      <c r="B32" s="34" t="str">
        <f>VLOOKUP(WEEKDAY(C32),Weekday!$A$1:$B$7,2,FALSE)</f>
        <v>THU</v>
      </c>
      <c r="C32" s="53">
        <f>$J$6-2</f>
        <v>42432</v>
      </c>
      <c r="D32" s="54"/>
      <c r="E32" s="93"/>
      <c r="F32" s="55"/>
      <c r="G32" s="56"/>
      <c r="H32" s="94">
        <f t="shared" si="9"/>
        <v>0</v>
      </c>
      <c r="I32" s="92">
        <f t="shared" si="10"/>
        <v>0</v>
      </c>
      <c r="J32" s="71"/>
      <c r="K32" s="72"/>
      <c r="L32" s="73"/>
      <c r="M32" s="74">
        <f t="shared" si="11"/>
        <v>0</v>
      </c>
      <c r="N32" s="71"/>
      <c r="O32" s="72"/>
      <c r="P32" s="72"/>
      <c r="Q32" s="72"/>
      <c r="R32" s="72"/>
      <c r="S32" s="72"/>
      <c r="T32" s="72"/>
      <c r="U32" s="72"/>
      <c r="V32" s="72"/>
      <c r="W32" s="72"/>
      <c r="X32" s="72"/>
      <c r="Y32" s="86"/>
      <c r="Z32" s="75"/>
      <c r="AA32" s="74">
        <f t="shared" si="12"/>
        <v>0</v>
      </c>
      <c r="AB32" s="57" t="s">
        <v>76</v>
      </c>
      <c r="AC32" s="58" t="s">
        <v>53</v>
      </c>
      <c r="AD32" s="58"/>
      <c r="AE32" s="58" t="s">
        <v>54</v>
      </c>
      <c r="AF32" s="52" t="s">
        <v>106</v>
      </c>
      <c r="AG32" s="126"/>
      <c r="AH32" s="111">
        <f t="shared" si="13"/>
        <v>0</v>
      </c>
    </row>
    <row r="33" spans="2:34" x14ac:dyDescent="0.2">
      <c r="B33" s="34" t="str">
        <f>VLOOKUP(WEEKDAY(C33),Weekday!$A$1:$B$7,2,FALSE)</f>
        <v>FRI</v>
      </c>
      <c r="C33" s="53">
        <f>$J$6-1</f>
        <v>42433</v>
      </c>
      <c r="D33" s="54"/>
      <c r="E33" s="93"/>
      <c r="F33" s="55"/>
      <c r="G33" s="56"/>
      <c r="H33" s="94">
        <f t="shared" si="9"/>
        <v>0</v>
      </c>
      <c r="I33" s="92">
        <f t="shared" si="10"/>
        <v>0</v>
      </c>
      <c r="J33" s="71"/>
      <c r="K33" s="72"/>
      <c r="L33" s="73"/>
      <c r="M33" s="74">
        <f t="shared" si="11"/>
        <v>0</v>
      </c>
      <c r="N33" s="71"/>
      <c r="O33" s="72"/>
      <c r="P33" s="72"/>
      <c r="Q33" s="72"/>
      <c r="R33" s="72"/>
      <c r="S33" s="72"/>
      <c r="T33" s="72"/>
      <c r="U33" s="72"/>
      <c r="V33" s="72"/>
      <c r="W33" s="72"/>
      <c r="X33" s="72"/>
      <c r="Y33" s="86"/>
      <c r="Z33" s="75"/>
      <c r="AA33" s="74">
        <f t="shared" si="12"/>
        <v>0</v>
      </c>
      <c r="AB33" s="57" t="s">
        <v>76</v>
      </c>
      <c r="AC33" s="58" t="s">
        <v>53</v>
      </c>
      <c r="AD33" s="58"/>
      <c r="AE33" s="58" t="s">
        <v>54</v>
      </c>
      <c r="AF33" s="52" t="s">
        <v>106</v>
      </c>
      <c r="AG33" s="126"/>
      <c r="AH33" s="111">
        <f t="shared" si="13"/>
        <v>0</v>
      </c>
    </row>
    <row r="34" spans="2:34" ht="12" thickBot="1" x14ac:dyDescent="0.25">
      <c r="B34" s="35" t="str">
        <f>VLOOKUP(WEEKDAY(C34),Weekday!$A$1:$B$7,2,FALSE)</f>
        <v>SAT</v>
      </c>
      <c r="C34" s="59">
        <f>$J$6</f>
        <v>42434</v>
      </c>
      <c r="D34" s="60"/>
      <c r="E34" s="95"/>
      <c r="F34" s="61"/>
      <c r="G34" s="62"/>
      <c r="H34" s="96"/>
      <c r="I34" s="97">
        <f>F34*H34</f>
        <v>0</v>
      </c>
      <c r="J34" s="76"/>
      <c r="K34" s="77"/>
      <c r="L34" s="78"/>
      <c r="M34" s="98">
        <f>SUM(J34:L34)</f>
        <v>0</v>
      </c>
      <c r="N34" s="76"/>
      <c r="O34" s="77"/>
      <c r="P34" s="77"/>
      <c r="Q34" s="77"/>
      <c r="R34" s="77"/>
      <c r="S34" s="77"/>
      <c r="T34" s="77"/>
      <c r="U34" s="77"/>
      <c r="V34" s="77"/>
      <c r="W34" s="77"/>
      <c r="X34" s="77"/>
      <c r="Y34" s="87"/>
      <c r="Z34" s="79"/>
      <c r="AA34" s="74">
        <f>SUM(M34,N34:X34,Z34)</f>
        <v>0</v>
      </c>
      <c r="AB34" s="63" t="s">
        <v>52</v>
      </c>
      <c r="AC34" s="64" t="s">
        <v>53</v>
      </c>
      <c r="AD34" s="64"/>
      <c r="AE34" s="64" t="s">
        <v>54</v>
      </c>
      <c r="AF34" s="65" t="s">
        <v>106</v>
      </c>
      <c r="AG34" s="127"/>
      <c r="AH34" s="111">
        <f t="shared" si="5"/>
        <v>0</v>
      </c>
    </row>
    <row r="35" spans="2:34" ht="15.75" thickBot="1" x14ac:dyDescent="0.3">
      <c r="J35" s="80">
        <f t="shared" ref="J35:X35" si="14">SUM(J22:J34)</f>
        <v>10.82</v>
      </c>
      <c r="K35" s="80">
        <f t="shared" si="14"/>
        <v>9</v>
      </c>
      <c r="L35" s="80">
        <f t="shared" si="14"/>
        <v>41.15</v>
      </c>
      <c r="M35" s="80">
        <f t="shared" si="14"/>
        <v>60.97</v>
      </c>
      <c r="N35" s="80">
        <f t="shared" si="14"/>
        <v>0</v>
      </c>
      <c r="O35" s="80">
        <f t="shared" si="14"/>
        <v>0</v>
      </c>
      <c r="P35" s="80">
        <f t="shared" si="14"/>
        <v>569.87</v>
      </c>
      <c r="Q35" s="80">
        <f t="shared" si="14"/>
        <v>26.25</v>
      </c>
      <c r="R35" s="80">
        <f t="shared" si="14"/>
        <v>0</v>
      </c>
      <c r="S35" s="80">
        <f t="shared" si="14"/>
        <v>0</v>
      </c>
      <c r="T35" s="80">
        <f t="shared" si="14"/>
        <v>40</v>
      </c>
      <c r="U35" s="80">
        <f t="shared" si="14"/>
        <v>0</v>
      </c>
      <c r="V35" s="80">
        <f t="shared" si="14"/>
        <v>0</v>
      </c>
      <c r="W35" s="80">
        <f t="shared" si="14"/>
        <v>0</v>
      </c>
      <c r="X35" s="80">
        <f t="shared" si="14"/>
        <v>0</v>
      </c>
      <c r="Y35" s="81"/>
      <c r="Z35" s="80">
        <f>SUM(Z22:Z34)</f>
        <v>0</v>
      </c>
      <c r="AA35" s="82">
        <f>SUM(AA22:AA34)</f>
        <v>697.09</v>
      </c>
      <c r="AH35"/>
    </row>
    <row r="37" spans="2:34" x14ac:dyDescent="0.2">
      <c r="J37" s="12"/>
      <c r="N37" s="85"/>
      <c r="Q37" s="13"/>
      <c r="V37" s="38" t="s">
        <v>60</v>
      </c>
    </row>
    <row r="38" spans="2:34" x14ac:dyDescent="0.2">
      <c r="V38" s="14" t="s">
        <v>61</v>
      </c>
      <c r="W38" s="83">
        <f>SUM(AA22:AA34)</f>
        <v>697.09</v>
      </c>
      <c r="X38" s="6" t="s">
        <v>62</v>
      </c>
    </row>
    <row r="39" spans="2:34" x14ac:dyDescent="0.2">
      <c r="V39" s="14" t="s">
        <v>63</v>
      </c>
      <c r="W39" s="83">
        <f>SUMIF(AC22:AC34,"Utopia Corporate Card",AA22:AA34)</f>
        <v>0</v>
      </c>
      <c r="X39" s="6" t="s">
        <v>62</v>
      </c>
      <c r="AA39" s="85"/>
    </row>
    <row r="40" spans="2:34" x14ac:dyDescent="0.2">
      <c r="V40" s="14" t="s">
        <v>64</v>
      </c>
      <c r="W40" s="83">
        <f>SUMIF(AC22:AC34,"OTHERS Corporate Card",AA22:AA34)</f>
        <v>0</v>
      </c>
      <c r="X40" s="6" t="s">
        <v>62</v>
      </c>
    </row>
    <row r="41" spans="2:34" ht="12" thickBot="1" x14ac:dyDescent="0.25">
      <c r="V41" s="36" t="s">
        <v>65</v>
      </c>
      <c r="W41" s="84">
        <v>0</v>
      </c>
      <c r="X41" s="37" t="s">
        <v>66</v>
      </c>
    </row>
    <row r="42" spans="2:34" ht="12" thickBot="1" x14ac:dyDescent="0.25">
      <c r="B42" s="66"/>
      <c r="C42" s="1" t="s">
        <v>67</v>
      </c>
      <c r="V42" s="14" t="s">
        <v>68</v>
      </c>
      <c r="W42" s="83">
        <f>W38-W39-W40-W41</f>
        <v>697.09</v>
      </c>
      <c r="X42" s="6"/>
    </row>
    <row r="43" spans="2:34" x14ac:dyDescent="0.2">
      <c r="W43" s="85"/>
    </row>
    <row r="44" spans="2:34" x14ac:dyDescent="0.2">
      <c r="B44" s="1" t="s">
        <v>69</v>
      </c>
      <c r="V44" s="38" t="s">
        <v>70</v>
      </c>
      <c r="W44" s="85"/>
    </row>
    <row r="45" spans="2:34" x14ac:dyDescent="0.2">
      <c r="V45" s="14" t="s">
        <v>71</v>
      </c>
      <c r="W45" s="83">
        <f>SUMIF(AC22:AC34,"Personal Card/Cash",AA22:AA34)</f>
        <v>697.09</v>
      </c>
      <c r="X45" s="6" t="s">
        <v>62</v>
      </c>
    </row>
    <row r="46" spans="2:34" x14ac:dyDescent="0.2">
      <c r="W46" s="85"/>
    </row>
    <row r="47" spans="2:34" x14ac:dyDescent="0.2">
      <c r="W47" s="85"/>
    </row>
    <row r="48" spans="2:34" x14ac:dyDescent="0.2">
      <c r="V48" s="14" t="s">
        <v>72</v>
      </c>
      <c r="W48" s="83">
        <f>SUMIF(AE22:AE34,"Client Exp",AA22:AA34)</f>
        <v>697.09</v>
      </c>
      <c r="X48" s="6" t="s">
        <v>62</v>
      </c>
    </row>
    <row r="49" spans="22:24" x14ac:dyDescent="0.2">
      <c r="V49" s="14" t="s">
        <v>73</v>
      </c>
      <c r="W49" s="83">
        <f>SUMIF(AE24:AE35,"Utopia Exp",AA24:AA35)</f>
        <v>0</v>
      </c>
      <c r="X49" s="6" t="s">
        <v>62</v>
      </c>
    </row>
    <row r="235" spans="24:27" s="16" customFormat="1" x14ac:dyDescent="0.2"/>
    <row r="236" spans="24:27" s="16" customFormat="1" x14ac:dyDescent="0.2">
      <c r="X236" s="16" t="s">
        <v>52</v>
      </c>
      <c r="Y236" s="16" t="s">
        <v>53</v>
      </c>
      <c r="Z236" s="16" t="s">
        <v>74</v>
      </c>
      <c r="AA236" s="16" t="s">
        <v>75</v>
      </c>
    </row>
    <row r="237" spans="24:27" s="16" customFormat="1" x14ac:dyDescent="0.2">
      <c r="X237" s="16" t="s">
        <v>76</v>
      </c>
      <c r="Y237" s="16" t="s">
        <v>77</v>
      </c>
      <c r="Z237" s="16" t="s">
        <v>3</v>
      </c>
      <c r="AA237" s="16" t="s">
        <v>54</v>
      </c>
    </row>
    <row r="238" spans="24:27" s="16" customFormat="1" x14ac:dyDescent="0.2">
      <c r="Y238" s="16" t="s">
        <v>78</v>
      </c>
    </row>
    <row r="239"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2:AB34">
      <formula1>$X$236:$X$237</formula1>
    </dataValidation>
    <dataValidation type="list" allowBlank="1" showInputMessage="1" showErrorMessage="1" sqref="AE22:AE34">
      <formula1>$AA$236:$AA$237</formula1>
    </dataValidation>
    <dataValidation type="list" allowBlank="1" showInputMessage="1" showErrorMessage="1" sqref="AC22:AC34">
      <formula1>$Y$236:$Y$238</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51</v>
      </c>
    </row>
    <row r="2" spans="1:2" x14ac:dyDescent="0.25">
      <c r="A2">
        <v>2</v>
      </c>
      <c r="B2" t="s">
        <v>55</v>
      </c>
    </row>
    <row r="3" spans="1:2" x14ac:dyDescent="0.25">
      <c r="A3">
        <v>3</v>
      </c>
      <c r="B3" t="s">
        <v>56</v>
      </c>
    </row>
    <row r="4" spans="1:2" x14ac:dyDescent="0.25">
      <c r="A4">
        <v>4</v>
      </c>
      <c r="B4" t="s">
        <v>57</v>
      </c>
    </row>
    <row r="5" spans="1:2" x14ac:dyDescent="0.25">
      <c r="A5">
        <v>5</v>
      </c>
      <c r="B5" t="s">
        <v>101</v>
      </c>
    </row>
    <row r="6" spans="1:2" x14ac:dyDescent="0.25">
      <c r="A6">
        <v>6</v>
      </c>
      <c r="B6" t="s">
        <v>58</v>
      </c>
    </row>
    <row r="7" spans="1:2" x14ac:dyDescent="0.25">
      <c r="A7">
        <v>7</v>
      </c>
      <c r="B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79</v>
      </c>
    </row>
    <row r="3" spans="1:3" x14ac:dyDescent="0.25">
      <c r="B3" s="22"/>
    </row>
    <row r="4" spans="1:3" x14ac:dyDescent="0.25">
      <c r="A4" s="25"/>
      <c r="B4" s="27" t="s">
        <v>80</v>
      </c>
      <c r="C4" s="26"/>
    </row>
    <row r="5" spans="1:3" x14ac:dyDescent="0.25">
      <c r="A5" s="25"/>
      <c r="B5" s="28"/>
      <c r="C5" s="26"/>
    </row>
    <row r="6" spans="1:3" x14ac:dyDescent="0.25">
      <c r="A6" s="25"/>
      <c r="B6" s="28" t="s">
        <v>81</v>
      </c>
      <c r="C6" s="26"/>
    </row>
    <row r="7" spans="1:3" x14ac:dyDescent="0.25">
      <c r="A7" s="25"/>
      <c r="B7" s="28"/>
      <c r="C7" s="26"/>
    </row>
    <row r="8" spans="1:3" ht="45" x14ac:dyDescent="0.25">
      <c r="A8" s="25"/>
      <c r="B8" s="29" t="s">
        <v>82</v>
      </c>
      <c r="C8" s="26"/>
    </row>
    <row r="9" spans="1:3" x14ac:dyDescent="0.25">
      <c r="B9" s="22"/>
    </row>
    <row r="10" spans="1:3" x14ac:dyDescent="0.25">
      <c r="B10" s="23" t="s">
        <v>83</v>
      </c>
    </row>
    <row r="11" spans="1:3" x14ac:dyDescent="0.25">
      <c r="B11" s="23"/>
    </row>
    <row r="12" spans="1:3" x14ac:dyDescent="0.25">
      <c r="B12" s="22" t="s">
        <v>84</v>
      </c>
    </row>
    <row r="13" spans="1:3" x14ac:dyDescent="0.25">
      <c r="B13" s="22"/>
    </row>
    <row r="14" spans="1:3" x14ac:dyDescent="0.25">
      <c r="B14" s="22" t="s">
        <v>85</v>
      </c>
    </row>
    <row r="15" spans="1:3" x14ac:dyDescent="0.25">
      <c r="B15" s="22"/>
    </row>
    <row r="16" spans="1:3" ht="30" x14ac:dyDescent="0.25">
      <c r="B16" s="22" t="s">
        <v>86</v>
      </c>
    </row>
    <row r="17" spans="2:2" x14ac:dyDescent="0.25">
      <c r="B17" s="22"/>
    </row>
    <row r="18" spans="2:2" x14ac:dyDescent="0.25">
      <c r="B18" s="22" t="s">
        <v>87</v>
      </c>
    </row>
    <row r="19" spans="2:2" x14ac:dyDescent="0.25">
      <c r="B19" s="22"/>
    </row>
    <row r="20" spans="2:2" x14ac:dyDescent="0.25">
      <c r="B20" s="22" t="s">
        <v>88</v>
      </c>
    </row>
    <row r="21" spans="2:2" x14ac:dyDescent="0.25">
      <c r="B21" s="22"/>
    </row>
    <row r="22" spans="2:2" x14ac:dyDescent="0.25">
      <c r="B22" s="22" t="s">
        <v>89</v>
      </c>
    </row>
    <row r="23" spans="2:2" x14ac:dyDescent="0.25">
      <c r="B23" s="22"/>
    </row>
    <row r="24" spans="2:2" x14ac:dyDescent="0.25">
      <c r="B24" s="22" t="s">
        <v>90</v>
      </c>
    </row>
    <row r="25" spans="2:2" x14ac:dyDescent="0.25">
      <c r="B25" s="22"/>
    </row>
    <row r="26" spans="2:2" ht="30" x14ac:dyDescent="0.25">
      <c r="B26" s="22" t="s">
        <v>91</v>
      </c>
    </row>
    <row r="27" spans="2:2" x14ac:dyDescent="0.25">
      <c r="B27" s="22"/>
    </row>
    <row r="28" spans="2:2" x14ac:dyDescent="0.25">
      <c r="B28" s="22" t="s">
        <v>92</v>
      </c>
    </row>
    <row r="29" spans="2:2" x14ac:dyDescent="0.25">
      <c r="B29" s="22"/>
    </row>
    <row r="30" spans="2:2" x14ac:dyDescent="0.25">
      <c r="B30" s="22" t="s">
        <v>93</v>
      </c>
    </row>
    <row r="31" spans="2:2" x14ac:dyDescent="0.25">
      <c r="B31" s="22"/>
    </row>
    <row r="32" spans="2:2" x14ac:dyDescent="0.25">
      <c r="B32" s="22" t="s">
        <v>94</v>
      </c>
    </row>
    <row r="33" spans="2:2" x14ac:dyDescent="0.25">
      <c r="B33" s="22"/>
    </row>
    <row r="34" spans="2:2" ht="30" x14ac:dyDescent="0.25">
      <c r="B34" s="22" t="s">
        <v>95</v>
      </c>
    </row>
    <row r="35" spans="2:2" x14ac:dyDescent="0.25">
      <c r="B35" s="22"/>
    </row>
    <row r="36" spans="2:2" ht="45" x14ac:dyDescent="0.25">
      <c r="B36" s="22" t="s">
        <v>96</v>
      </c>
    </row>
    <row r="37" spans="2:2" x14ac:dyDescent="0.25">
      <c r="B37" s="22"/>
    </row>
    <row r="38" spans="2:2" ht="30" x14ac:dyDescent="0.25">
      <c r="B38" s="22" t="s">
        <v>97</v>
      </c>
    </row>
    <row r="39" spans="2:2" x14ac:dyDescent="0.25">
      <c r="B39" s="22"/>
    </row>
    <row r="40" spans="2:2" ht="30" x14ac:dyDescent="0.25">
      <c r="B40" s="22" t="s">
        <v>98</v>
      </c>
    </row>
    <row r="41" spans="2:2" x14ac:dyDescent="0.25">
      <c r="B41" s="22"/>
    </row>
    <row r="42" spans="2:2" x14ac:dyDescent="0.25">
      <c r="B42" s="22" t="s">
        <v>99</v>
      </c>
    </row>
    <row r="43" spans="2:2" x14ac:dyDescent="0.25">
      <c r="B43" s="22"/>
    </row>
    <row r="44" spans="2:2" ht="30" x14ac:dyDescent="0.25">
      <c r="B44" s="22" t="s">
        <v>100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Windows User</cp:lastModifiedBy>
  <cp:revision/>
  <dcterms:created xsi:type="dcterms:W3CDTF">2010-06-18T10:46:42Z</dcterms:created>
  <dcterms:modified xsi:type="dcterms:W3CDTF">2016-04-04T02:36:24Z</dcterms:modified>
</cp:coreProperties>
</file>