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"/>
    </mc:Choice>
  </mc:AlternateContent>
  <bookViews>
    <workbookView xWindow="0" yWindow="0" windowWidth="12600" windowHeight="8325" firstSheet="2" activeTab="4"/>
  </bookViews>
  <sheets>
    <sheet name="2015 Fiscal Year" sheetId="1" r:id="rId1"/>
    <sheet name="Contract Summary - Active" sheetId="3" r:id="rId2"/>
    <sheet name="For Letter to buyers Jan 20" sheetId="5" r:id="rId3"/>
    <sheet name="Contract Summary - Old" sheetId="4" r:id="rId4"/>
    <sheet name="for invoices" sheetId="2" r:id="rId5"/>
  </sheets>
  <definedNames>
    <definedName name="_xlnm.Print_Area" localSheetId="0">'2015 Fiscal Year'!$B$1:$O$53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N72" i="1"/>
  <c r="L71" i="1"/>
  <c r="N71" i="1" s="1"/>
  <c r="L54" i="1"/>
  <c r="N54" i="1" s="1"/>
  <c r="L28" i="1"/>
  <c r="N28" i="1"/>
  <c r="L15" i="1"/>
  <c r="N15" i="1" s="1"/>
  <c r="F57" i="1"/>
  <c r="L55" i="1"/>
  <c r="L56" i="1"/>
  <c r="N56" i="1" s="1"/>
  <c r="L57" i="1"/>
  <c r="M57" i="1"/>
  <c r="L58" i="1"/>
  <c r="L59" i="1"/>
  <c r="L60" i="1"/>
  <c r="L61" i="1"/>
  <c r="L62" i="1"/>
  <c r="M62" i="1"/>
  <c r="N62" i="1" s="1"/>
  <c r="L63" i="1"/>
  <c r="M63" i="1"/>
  <c r="L64" i="1"/>
  <c r="M64" i="1"/>
  <c r="L65" i="1"/>
  <c r="L66" i="1"/>
  <c r="L67" i="1"/>
  <c r="L68" i="1"/>
  <c r="M68" i="1"/>
  <c r="L69" i="1"/>
  <c r="L42" i="1"/>
  <c r="N42" i="1" s="1"/>
  <c r="L43" i="1"/>
  <c r="L44" i="1"/>
  <c r="M44" i="1"/>
  <c r="L45" i="1"/>
  <c r="M45" i="1"/>
  <c r="L46" i="1"/>
  <c r="M46" i="1"/>
  <c r="L47" i="1"/>
  <c r="M47" i="1"/>
  <c r="L48" i="1"/>
  <c r="L49" i="1"/>
  <c r="M49" i="1"/>
  <c r="L50" i="1"/>
  <c r="M50" i="1"/>
  <c r="L51" i="1"/>
  <c r="M51" i="1"/>
  <c r="L52" i="1"/>
  <c r="M52" i="1"/>
  <c r="L41" i="1"/>
  <c r="N41" i="1" s="1"/>
  <c r="L31" i="1"/>
  <c r="L32" i="1"/>
  <c r="M32" i="1"/>
  <c r="L34" i="1"/>
  <c r="L35" i="1"/>
  <c r="M35" i="1"/>
  <c r="N35" i="1" s="1"/>
  <c r="L36" i="1"/>
  <c r="M36" i="1"/>
  <c r="N36" i="1" s="1"/>
  <c r="L37" i="1"/>
  <c r="L30" i="1"/>
  <c r="L18" i="1"/>
  <c r="M18" i="1"/>
  <c r="L19" i="1"/>
  <c r="M19" i="1"/>
  <c r="L20" i="1"/>
  <c r="M20" i="1"/>
  <c r="N20" i="1" s="1"/>
  <c r="L21" i="1"/>
  <c r="M21" i="1"/>
  <c r="L22" i="1"/>
  <c r="M22" i="1"/>
  <c r="L23" i="1"/>
  <c r="M23" i="1"/>
  <c r="L24" i="1"/>
  <c r="M24" i="1"/>
  <c r="L25" i="1"/>
  <c r="M25" i="1"/>
  <c r="L26" i="1"/>
  <c r="M26" i="1"/>
  <c r="M17" i="1"/>
  <c r="L17" i="1"/>
  <c r="L29" i="1"/>
  <c r="N29" i="1" s="1"/>
  <c r="L16" i="1"/>
  <c r="N16" i="1" s="1"/>
  <c r="M5" i="1"/>
  <c r="M6" i="1"/>
  <c r="M7" i="1"/>
  <c r="M8" i="1"/>
  <c r="M9" i="1"/>
  <c r="M10" i="1"/>
  <c r="M11" i="1"/>
  <c r="M12" i="1"/>
  <c r="M13" i="1"/>
  <c r="M4" i="1"/>
  <c r="L3" i="1"/>
  <c r="N3" i="1" s="1"/>
  <c r="L4" i="1"/>
  <c r="N4" i="1" s="1"/>
  <c r="L5" i="1"/>
  <c r="N5" i="1" s="1"/>
  <c r="L6" i="1"/>
  <c r="N6" i="1" s="1"/>
  <c r="L7" i="1"/>
  <c r="N7" i="1" s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2" i="1"/>
  <c r="N2" i="1" s="1"/>
  <c r="N80" i="1"/>
  <c r="J80" i="1"/>
  <c r="H80" i="1"/>
  <c r="E80" i="1"/>
  <c r="F80" i="1"/>
  <c r="D80" i="1"/>
  <c r="O72" i="1"/>
  <c r="E75" i="1"/>
  <c r="H75" i="1"/>
  <c r="J75" i="1"/>
  <c r="O58" i="1"/>
  <c r="O59" i="1"/>
  <c r="O60" i="1"/>
  <c r="O63" i="1"/>
  <c r="O64" i="1"/>
  <c r="O65" i="1"/>
  <c r="O66" i="1"/>
  <c r="O67" i="1"/>
  <c r="O68" i="1"/>
  <c r="O69" i="1"/>
  <c r="O57" i="1"/>
  <c r="O55" i="1"/>
  <c r="O54" i="1"/>
  <c r="O29" i="1"/>
  <c r="O30" i="1"/>
  <c r="O31" i="1"/>
  <c r="O33" i="1"/>
  <c r="O34" i="1"/>
  <c r="O36" i="1"/>
  <c r="O37" i="1"/>
  <c r="O38" i="1"/>
  <c r="O39" i="1"/>
  <c r="O28" i="1"/>
  <c r="O16" i="1"/>
  <c r="O17" i="1"/>
  <c r="O18" i="1"/>
  <c r="O19" i="1"/>
  <c r="O20" i="1"/>
  <c r="O21" i="1"/>
  <c r="O22" i="1"/>
  <c r="O23" i="1"/>
  <c r="O24" i="1"/>
  <c r="O25" i="1"/>
  <c r="O26" i="1"/>
  <c r="O15" i="1"/>
  <c r="O3" i="1"/>
  <c r="O4" i="1"/>
  <c r="O5" i="1"/>
  <c r="O7" i="1"/>
  <c r="O8" i="1"/>
  <c r="O10" i="1"/>
  <c r="O11" i="1"/>
  <c r="O13" i="1"/>
  <c r="O2" i="1"/>
  <c r="D71" i="1"/>
  <c r="O71" i="1" s="1"/>
  <c r="N24" i="1" l="1"/>
  <c r="N22" i="1"/>
  <c r="N21" i="1"/>
  <c r="N68" i="1"/>
  <c r="O40" i="1"/>
  <c r="N26" i="1"/>
  <c r="N25" i="1"/>
  <c r="N18" i="1"/>
  <c r="N27" i="1" s="1"/>
  <c r="N64" i="1"/>
  <c r="N63" i="1"/>
  <c r="L70" i="1"/>
  <c r="N75" i="1"/>
  <c r="N57" i="1"/>
  <c r="N55" i="1"/>
  <c r="N47" i="1"/>
  <c r="N51" i="1"/>
  <c r="N52" i="1"/>
  <c r="L53" i="1"/>
  <c r="N49" i="1"/>
  <c r="N45" i="1"/>
  <c r="N44" i="1"/>
  <c r="N50" i="1"/>
  <c r="N46" i="1"/>
  <c r="N32" i="1"/>
  <c r="N17" i="1"/>
  <c r="N23" i="1"/>
  <c r="N19" i="1"/>
  <c r="M27" i="1"/>
  <c r="O27" i="1"/>
  <c r="L27" i="1"/>
  <c r="O14" i="1"/>
  <c r="M14" i="1"/>
  <c r="N14" i="1"/>
  <c r="L14" i="1"/>
  <c r="O75" i="1"/>
  <c r="O80" i="1"/>
  <c r="J54" i="1"/>
  <c r="D54" i="1"/>
  <c r="J63" i="1"/>
  <c r="F72" i="1" l="1"/>
  <c r="D72" i="1"/>
  <c r="D75" i="1" s="1"/>
  <c r="O56" i="1" l="1"/>
  <c r="D66" i="1" l="1"/>
  <c r="M66" i="1" s="1"/>
  <c r="N66" i="1" s="1"/>
  <c r="F71" i="1" l="1"/>
  <c r="F75" i="1" s="1"/>
  <c r="F55" i="1" l="1"/>
  <c r="D55" i="1"/>
  <c r="H70" i="1" l="1"/>
  <c r="J70" i="1"/>
  <c r="F69" i="1" l="1"/>
  <c r="D60" i="1" l="1"/>
  <c r="M60" i="1" s="1"/>
  <c r="N60" i="1" s="1"/>
  <c r="E61" i="1"/>
  <c r="O61" i="1" s="1"/>
  <c r="O70" i="1" s="1"/>
  <c r="F61" i="1" l="1"/>
  <c r="E70" i="1"/>
  <c r="D61" i="1"/>
  <c r="M61" i="1" s="1"/>
  <c r="N61" i="1" s="1"/>
  <c r="F65" i="1"/>
  <c r="F59" i="1" l="1"/>
  <c r="D47" i="1" l="1"/>
  <c r="O45" i="1" l="1"/>
  <c r="O52" i="1"/>
  <c r="O50" i="1"/>
  <c r="O48" i="1"/>
  <c r="O47" i="1"/>
  <c r="O44" i="1"/>
  <c r="O41" i="1"/>
  <c r="O43" i="1"/>
  <c r="O53" i="1" l="1"/>
  <c r="D59" i="1"/>
  <c r="M59" i="1" s="1"/>
  <c r="N59" i="1" s="1"/>
  <c r="D58" i="1"/>
  <c r="M58" i="1" s="1"/>
  <c r="D69" i="1"/>
  <c r="M69" i="1" s="1"/>
  <c r="N69" i="1" s="1"/>
  <c r="D67" i="1"/>
  <c r="M67" i="1" s="1"/>
  <c r="N67" i="1" s="1"/>
  <c r="N58" i="1" l="1"/>
  <c r="D65" i="1"/>
  <c r="M65" i="1" s="1"/>
  <c r="N65" i="1" s="1"/>
  <c r="D63" i="1"/>
  <c r="M70" i="1" l="1"/>
  <c r="N70" i="1"/>
  <c r="D56" i="1"/>
  <c r="D70" i="1" s="1"/>
  <c r="F56" i="1"/>
  <c r="F70" i="1" s="1"/>
  <c r="F43" i="1" l="1"/>
  <c r="D43" i="1"/>
  <c r="M43" i="1" s="1"/>
  <c r="N43" i="1" l="1"/>
  <c r="D52" i="1"/>
  <c r="D50" i="1" l="1"/>
  <c r="D48" i="1" l="1"/>
  <c r="M48" i="1" s="1"/>
  <c r="N48" i="1" l="1"/>
  <c r="M53" i="1"/>
  <c r="D44" i="1"/>
  <c r="D45" i="1" l="1"/>
  <c r="F41" i="1" l="1"/>
  <c r="F53" i="1" s="1"/>
  <c r="H39" i="1" l="1"/>
  <c r="L39" i="1" s="1"/>
  <c r="D41" i="1"/>
  <c r="D53" i="1" s="1"/>
  <c r="N53" i="1" l="1"/>
  <c r="E53" i="1"/>
  <c r="J53" i="1"/>
  <c r="H53" i="1" l="1"/>
  <c r="J32" i="1"/>
  <c r="J35" i="1"/>
  <c r="F37" i="1" l="1"/>
  <c r="D37" i="1"/>
  <c r="M37" i="1" s="1"/>
  <c r="N37" i="1" s="1"/>
  <c r="J37" i="1" l="1"/>
  <c r="D38" i="1"/>
  <c r="F38" i="1"/>
  <c r="H38" i="1" s="1"/>
  <c r="L38" i="1" s="1"/>
  <c r="J38" i="1" l="1"/>
  <c r="M38" i="1"/>
  <c r="N38" i="1" s="1"/>
  <c r="F33" i="1"/>
  <c r="H33" i="1" s="1"/>
  <c r="L33" i="1" s="1"/>
  <c r="L40" i="1" s="1"/>
  <c r="D33" i="1"/>
  <c r="J33" i="1" l="1"/>
  <c r="M33" i="1"/>
  <c r="N33" i="1" s="1"/>
  <c r="H40" i="1"/>
  <c r="F31" i="1"/>
  <c r="D31" i="1" l="1"/>
  <c r="M31" i="1" s="1"/>
  <c r="N31" i="1" s="1"/>
  <c r="F39" i="1"/>
  <c r="D39" i="1"/>
  <c r="M39" i="1" s="1"/>
  <c r="N39" i="1" s="1"/>
  <c r="J39" i="1" l="1"/>
  <c r="J31" i="1"/>
  <c r="F34" i="1"/>
  <c r="D34" i="1"/>
  <c r="M34" i="1" s="1"/>
  <c r="N34" i="1" s="1"/>
  <c r="J34" i="1" l="1"/>
  <c r="F28" i="1"/>
  <c r="D30" i="1" l="1"/>
  <c r="M30" i="1" s="1"/>
  <c r="N30" i="1" l="1"/>
  <c r="N40" i="1" s="1"/>
  <c r="M40" i="1"/>
  <c r="J30" i="1"/>
  <c r="F29" i="1"/>
  <c r="J40" i="1" l="1"/>
  <c r="D28" i="1"/>
  <c r="E14" i="1"/>
  <c r="F16" i="1" l="1"/>
  <c r="H27" i="1" l="1"/>
  <c r="J26" i="1" l="1"/>
  <c r="J24" i="1"/>
  <c r="J23" i="1"/>
  <c r="J18" i="1"/>
  <c r="J20" i="1"/>
  <c r="J21" i="1"/>
  <c r="J17" i="1"/>
  <c r="J27" i="1" l="1"/>
  <c r="F40" i="1"/>
  <c r="E40" i="1"/>
  <c r="D40" i="1"/>
  <c r="E20" i="5" l="1"/>
  <c r="E11" i="5"/>
  <c r="E6" i="5"/>
  <c r="E25" i="5" l="1"/>
  <c r="J13" i="1"/>
  <c r="J11" i="1"/>
  <c r="J7" i="1"/>
  <c r="Q12" i="3" l="1"/>
  <c r="Q11" i="3"/>
  <c r="M10" i="3"/>
  <c r="M11" i="3"/>
  <c r="M12" i="3"/>
  <c r="M9" i="3"/>
  <c r="O3" i="4"/>
  <c r="R3" i="4" s="1"/>
  <c r="O2" i="4"/>
  <c r="R2" i="4" s="1"/>
  <c r="N12" i="3"/>
  <c r="O12" i="3" s="1"/>
  <c r="N11" i="3"/>
  <c r="O11" i="3" s="1"/>
  <c r="Q9" i="3"/>
  <c r="Q10" i="3"/>
  <c r="Q7" i="3"/>
  <c r="Q8" i="3"/>
  <c r="Q3" i="3"/>
  <c r="Q4" i="3"/>
  <c r="R4" i="3" s="1"/>
  <c r="R5" i="3"/>
  <c r="R6" i="3"/>
  <c r="O10" i="3"/>
  <c r="O9" i="3"/>
  <c r="O8" i="3"/>
  <c r="O7" i="3"/>
  <c r="R3" i="3"/>
  <c r="R7" i="3" l="1"/>
  <c r="R9" i="3"/>
  <c r="R12" i="3"/>
  <c r="R11" i="3"/>
  <c r="R8" i="3"/>
  <c r="R10" i="3"/>
  <c r="D15" i="1"/>
  <c r="J10" i="1" l="1"/>
  <c r="J8" i="1"/>
  <c r="J5" i="1"/>
  <c r="J4" i="1"/>
  <c r="H14" i="1"/>
  <c r="D16" i="1"/>
  <c r="D3" i="1"/>
  <c r="D2" i="1"/>
  <c r="F27" i="1"/>
  <c r="E27" i="1" l="1"/>
  <c r="D27" i="1"/>
  <c r="D14" i="1"/>
  <c r="J14" i="1"/>
</calcChain>
</file>

<file path=xl/sharedStrings.xml><?xml version="1.0" encoding="utf-8"?>
<sst xmlns="http://schemas.openxmlformats.org/spreadsheetml/2006/main" count="393" uniqueCount="162">
  <si>
    <t xml:space="preserve">Chris </t>
  </si>
  <si>
    <t>Make all cheques payable to:</t>
  </si>
  <si>
    <t>C CUBED Data Integrators</t>
  </si>
  <si>
    <t>GST #83637 8984 RT0001</t>
  </si>
  <si>
    <t>Resource</t>
  </si>
  <si>
    <t>Invoice/ Timesheet Received</t>
  </si>
  <si>
    <t>Outgoing Invoice Created</t>
  </si>
  <si>
    <t>Outgoing Invoice Submitted</t>
  </si>
  <si>
    <t>Payment Received</t>
  </si>
  <si>
    <t>Payment Made</t>
  </si>
  <si>
    <t>y</t>
  </si>
  <si>
    <t>Manuel</t>
  </si>
  <si>
    <t>Carla</t>
  </si>
  <si>
    <t xml:space="preserve">Bill </t>
  </si>
  <si>
    <t>Kevin</t>
  </si>
  <si>
    <t>Pradeep</t>
  </si>
  <si>
    <t>Tim</t>
  </si>
  <si>
    <t>Jennifer</t>
  </si>
  <si>
    <t>Debabrata</t>
  </si>
  <si>
    <t>Manuel Exp</t>
  </si>
  <si>
    <t>Tim exp</t>
  </si>
  <si>
    <t>Kevin exp</t>
  </si>
  <si>
    <t>Carla Cook, BCOM, PMP</t>
  </si>
  <si>
    <t>Managing Partner</t>
  </si>
  <si>
    <t>403.978.9099</t>
  </si>
  <si>
    <t>Month</t>
  </si>
  <si>
    <t>Nov.</t>
  </si>
  <si>
    <t>Totals</t>
  </si>
  <si>
    <t>Dec</t>
  </si>
  <si>
    <t>Dec.</t>
  </si>
  <si>
    <t>Bill</t>
  </si>
  <si>
    <t>Dec. 24</t>
  </si>
  <si>
    <t xml:space="preserve">Jan.5 </t>
  </si>
  <si>
    <t>Dec. 1</t>
  </si>
  <si>
    <t>Client</t>
  </si>
  <si>
    <t>Suncor</t>
  </si>
  <si>
    <t>Start Date</t>
  </si>
  <si>
    <t>Original End Date</t>
  </si>
  <si>
    <t>Consultant</t>
  </si>
  <si>
    <t>Bill Towsley</t>
  </si>
  <si>
    <t>Original Hourly Rate to C CUBED</t>
  </si>
  <si>
    <t>Revised Hourly Rate to C CUBED</t>
  </si>
  <si>
    <t>Original Hourly Rate to Consultant</t>
  </si>
  <si>
    <t>Consultant's Company</t>
  </si>
  <si>
    <t>Revised Hourly Rate to Consultant</t>
  </si>
  <si>
    <t>Rate to Consultant Revised as of date</t>
  </si>
  <si>
    <t>Rate to C CUBED Revised as of date</t>
  </si>
  <si>
    <t>Nov. 1, 2013</t>
  </si>
  <si>
    <t>Jun. 30, 2014</t>
  </si>
  <si>
    <t>Revised Total Value of Contract</t>
  </si>
  <si>
    <t>Chris Marko</t>
  </si>
  <si>
    <t xml:space="preserve">Chris Marko Inc. </t>
  </si>
  <si>
    <t>Client's PO / Contract Number</t>
  </si>
  <si>
    <t>Kevin Chiu</t>
  </si>
  <si>
    <t>Pradeep Venneti</t>
  </si>
  <si>
    <t>Feb. 3, 2014</t>
  </si>
  <si>
    <t xml:space="preserve"> Jul. 31, 2014</t>
  </si>
  <si>
    <t>Original Total Value of Contract</t>
  </si>
  <si>
    <t>Tim To</t>
  </si>
  <si>
    <t>Apr. 1, 2014</t>
  </si>
  <si>
    <t>Aug. 3, 2014</t>
  </si>
  <si>
    <t>Manuel Fernandez</t>
  </si>
  <si>
    <t>Ledenda Holdings</t>
  </si>
  <si>
    <t>Jun. 2, 2014</t>
  </si>
  <si>
    <t>Debabrata Rout</t>
  </si>
  <si>
    <t>Jennifer Lengsfeld</t>
  </si>
  <si>
    <t>Oct. 3, 2014</t>
  </si>
  <si>
    <t>Amount Received todate</t>
  </si>
  <si>
    <t>Amount left in Contract / PO</t>
  </si>
  <si>
    <r>
      <t>Revised End Date</t>
    </r>
    <r>
      <rPr>
        <i/>
        <sz val="11"/>
        <color theme="1"/>
        <rFont val="Calibri"/>
        <family val="2"/>
        <scheme val="minor"/>
      </rPr>
      <t xml:space="preserve"> (Orange if within month, Red if overdue)</t>
    </r>
  </si>
  <si>
    <t>FTP password</t>
  </si>
  <si>
    <t>neAr,;9qR%f+</t>
  </si>
  <si>
    <t>SI Systems</t>
  </si>
  <si>
    <t>Carla Cook</t>
  </si>
  <si>
    <t>Amount Received / Invoiced to date</t>
  </si>
  <si>
    <t>Hours Worked in:</t>
  </si>
  <si>
    <t>Invoice number</t>
  </si>
  <si>
    <t>Purchase Order Number</t>
  </si>
  <si>
    <t>Invoice Date</t>
  </si>
  <si>
    <t>20141118KCexp</t>
  </si>
  <si>
    <t>201411TTexp</t>
  </si>
  <si>
    <t>201411MFexp</t>
  </si>
  <si>
    <t>201411MF</t>
  </si>
  <si>
    <t>Payment Was Due On</t>
  </si>
  <si>
    <t>201411PV</t>
  </si>
  <si>
    <t>201411DR</t>
  </si>
  <si>
    <t>201412BT</t>
  </si>
  <si>
    <t>1 week over due</t>
  </si>
  <si>
    <t>Amount that is 1 week overdue:</t>
  </si>
  <si>
    <t>Amount that is 5 weeks overdue:</t>
  </si>
  <si>
    <t>5 weeks overdue</t>
  </si>
  <si>
    <t>not received yet</t>
  </si>
  <si>
    <t>201412CM</t>
  </si>
  <si>
    <t>201412KC</t>
  </si>
  <si>
    <t>Total Invoice Amount</t>
  </si>
  <si>
    <t>20141201KCexp</t>
  </si>
  <si>
    <t>201412PV</t>
  </si>
  <si>
    <t>201412TT</t>
  </si>
  <si>
    <t>201412JL</t>
  </si>
  <si>
    <t>201412MF</t>
  </si>
  <si>
    <t>201412DR</t>
  </si>
  <si>
    <t>Amount that is 1 day overdue:</t>
  </si>
  <si>
    <t>Jan</t>
  </si>
  <si>
    <t>Invoice Number</t>
  </si>
  <si>
    <t xml:space="preserve"> 201412BT </t>
  </si>
  <si>
    <t xml:space="preserve"> 201412CM </t>
  </si>
  <si>
    <t xml:space="preserve"> 201412KC </t>
  </si>
  <si>
    <t xml:space="preserve"> 2014120IKCEXP </t>
  </si>
  <si>
    <t xml:space="preserve"> 201412JL </t>
  </si>
  <si>
    <t xml:space="preserve"> 201412PV </t>
  </si>
  <si>
    <t xml:space="preserve"> 201412TT </t>
  </si>
  <si>
    <t>Payment Date</t>
  </si>
  <si>
    <t>201412CC</t>
  </si>
  <si>
    <t>201501BT</t>
  </si>
  <si>
    <t>201501CC</t>
  </si>
  <si>
    <t>201501CM</t>
  </si>
  <si>
    <t>201501TT</t>
  </si>
  <si>
    <t>201501DR</t>
  </si>
  <si>
    <t>201501KC</t>
  </si>
  <si>
    <t>201501PV</t>
  </si>
  <si>
    <t>201501MF</t>
  </si>
  <si>
    <t>20150109KCexp</t>
  </si>
  <si>
    <t>-</t>
  </si>
  <si>
    <t>20150109TTexp</t>
  </si>
  <si>
    <t>Received Date</t>
  </si>
  <si>
    <t>201501NoticeJL</t>
  </si>
  <si>
    <t>20150116JL</t>
  </si>
  <si>
    <t>Hours / Invoice Saved</t>
  </si>
  <si>
    <t>Feb</t>
  </si>
  <si>
    <t>201502CC</t>
  </si>
  <si>
    <t>201502BT</t>
  </si>
  <si>
    <t>201502_TT_SUNCOR</t>
  </si>
  <si>
    <t>20150219TTexp</t>
  </si>
  <si>
    <t>Mar</t>
  </si>
  <si>
    <t>201502MF</t>
  </si>
  <si>
    <t>201502PV</t>
  </si>
  <si>
    <t>20150219KCexp</t>
  </si>
  <si>
    <t>201502MFexp</t>
  </si>
  <si>
    <t>201502BTpart2</t>
  </si>
  <si>
    <t>201502CMKCPV</t>
  </si>
  <si>
    <t>201502DR</t>
  </si>
  <si>
    <t>201503CCUBED</t>
  </si>
  <si>
    <t>Pradeep Overtime</t>
  </si>
  <si>
    <t>SLP-201503</t>
  </si>
  <si>
    <t>Samalei Inc-201503</t>
  </si>
  <si>
    <t>Debabrata Overtime</t>
  </si>
  <si>
    <t>Chris Overtime</t>
  </si>
  <si>
    <t>Profit</t>
  </si>
  <si>
    <t>201503CM</t>
  </si>
  <si>
    <t>201503PV</t>
  </si>
  <si>
    <t>201503DR</t>
  </si>
  <si>
    <t>Apr</t>
  </si>
  <si>
    <t>201503BT-OT</t>
  </si>
  <si>
    <t>20141208KCexp</t>
  </si>
  <si>
    <t>201503KC</t>
  </si>
  <si>
    <t>201504BT</t>
  </si>
  <si>
    <t>201504CC</t>
  </si>
  <si>
    <t>Kevin OT</t>
  </si>
  <si>
    <t>May</t>
  </si>
  <si>
    <t>GST Paid</t>
  </si>
  <si>
    <t>GST Collected</t>
  </si>
  <si>
    <t>Net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</si>
</sst>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1009]d/mmm/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4" applyNumberFormat="0" applyAlignment="0" applyProtection="0"/>
    <xf numFmtId="0" fontId="19" fillId="11" borderId="5" applyNumberFormat="0" applyAlignment="0" applyProtection="0"/>
    <xf numFmtId="0" fontId="20" fillId="11" borderId="4" applyNumberFormat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7" fillId="0" borderId="0" applyNumberFormat="0" applyFill="0" applyBorder="0" applyAlignment="0" applyProtection="0"/>
    <xf numFmtId="0" fontId="10" fillId="13" borderId="8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24" fillId="37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NumberFormat="1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44" fontId="1" fillId="2" borderId="0" xfId="0" applyNumberFormat="1" applyFont="1" applyFill="1" applyAlignment="1">
      <alignment wrapText="1"/>
    </xf>
    <xf numFmtId="44" fontId="0" fillId="0" borderId="0" xfId="0" applyNumberFormat="1"/>
    <xf numFmtId="44" fontId="0" fillId="3" borderId="0" xfId="0" applyNumberFormat="1" applyFill="1"/>
    <xf numFmtId="44" fontId="1" fillId="2" borderId="0" xfId="0" applyNumberFormat="1" applyFont="1" applyFill="1" applyAlignment="1">
      <alignment horizontal="left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0" fillId="5" borderId="0" xfId="0" applyFill="1"/>
    <xf numFmtId="0" fontId="0" fillId="5" borderId="0" xfId="0" applyFill="1" applyAlignment="1"/>
    <xf numFmtId="44" fontId="1" fillId="4" borderId="0" xfId="0" applyNumberFormat="1" applyFont="1" applyFill="1" applyAlignment="1">
      <alignment wrapText="1"/>
    </xf>
    <xf numFmtId="44" fontId="0" fillId="5" borderId="0" xfId="0" applyNumberFormat="1" applyFill="1"/>
    <xf numFmtId="44" fontId="0" fillId="0" borderId="0" xfId="0" applyNumberFormat="1" applyFill="1"/>
    <xf numFmtId="0" fontId="1" fillId="6" borderId="0" xfId="0" applyFont="1" applyFill="1" applyAlignment="1">
      <alignment wrapText="1"/>
    </xf>
    <xf numFmtId="164" fontId="1" fillId="4" borderId="0" xfId="0" applyNumberFormat="1" applyFont="1" applyFill="1" applyAlignment="1">
      <alignment wrapText="1"/>
    </xf>
    <xf numFmtId="164" fontId="0" fillId="0" borderId="0" xfId="0" applyNumberFormat="1"/>
    <xf numFmtId="164" fontId="0" fillId="5" borderId="0" xfId="0" applyNumberFormat="1" applyFill="1"/>
    <xf numFmtId="164" fontId="0" fillId="0" borderId="0" xfId="0" applyNumberFormat="1" applyFill="1"/>
    <xf numFmtId="164" fontId="0" fillId="5" borderId="0" xfId="0" applyNumberFormat="1" applyFill="1" applyAlignment="1">
      <alignment horizontal="left"/>
    </xf>
    <xf numFmtId="16" fontId="0" fillId="0" borderId="0" xfId="0" applyNumberFormat="1" applyFill="1"/>
    <xf numFmtId="15" fontId="0" fillId="0" borderId="0" xfId="0" applyNumberFormat="1"/>
    <xf numFmtId="0" fontId="0" fillId="0" borderId="0" xfId="0" applyNumberFormat="1"/>
    <xf numFmtId="0" fontId="1" fillId="0" borderId="0" xfId="0" applyFont="1" applyAlignment="1">
      <alignment wrapText="1"/>
    </xf>
    <xf numFmtId="16" fontId="0" fillId="0" borderId="0" xfId="0" applyNumberFormat="1"/>
    <xf numFmtId="0" fontId="7" fillId="0" borderId="0" xfId="0" applyFont="1"/>
    <xf numFmtId="15" fontId="8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right"/>
    </xf>
    <xf numFmtId="44" fontId="9" fillId="0" borderId="0" xfId="0" applyNumberFormat="1" applyFont="1"/>
    <xf numFmtId="0" fontId="9" fillId="0" borderId="0" xfId="0" applyFont="1"/>
    <xf numFmtId="15" fontId="9" fillId="0" borderId="0" xfId="0" applyNumberFormat="1" applyFont="1" applyAlignment="1">
      <alignment horizontal="right"/>
    </xf>
    <xf numFmtId="44" fontId="7" fillId="0" borderId="0" xfId="0" applyNumberFormat="1" applyFont="1"/>
    <xf numFmtId="0" fontId="0" fillId="0" borderId="0" xfId="0"/>
    <xf numFmtId="0" fontId="0" fillId="0" borderId="0" xfId="0"/>
    <xf numFmtId="4" fontId="0" fillId="0" borderId="0" xfId="0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0" fontId="0" fillId="38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rgb="FFC0000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rgb="FFC0000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patternFill>
          <bgColor theme="7" tint="0.39994506668294322"/>
        </patternFill>
      </fill>
    </dxf>
    <dxf>
      <font>
        <strike val="0"/>
        <color theme="0"/>
      </font>
      <fill>
        <gradientFill degree="90">
          <stop position="0">
            <color rgb="FFCC330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99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3</xdr:row>
      <xdr:rowOff>137160</xdr:rowOff>
    </xdr:from>
    <xdr:to>
      <xdr:col>5</xdr:col>
      <xdr:colOff>383655</xdr:colOff>
      <xdr:row>6</xdr:row>
      <xdr:rowOff>159987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895" y="1280160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zoomScaleNormal="100" workbookViewId="0">
      <selection activeCell="N14" sqref="N14:O75"/>
    </sheetView>
  </sheetViews>
  <sheetFormatPr defaultRowHeight="15" outlineLevelRow="1" x14ac:dyDescent="0.25"/>
  <cols>
    <col min="1" max="1" width="4.140625" customWidth="1"/>
    <col min="2" max="2" width="11" customWidth="1"/>
    <col min="3" max="3" width="14.28515625" style="41" customWidth="1"/>
    <col min="4" max="4" width="14.140625" style="10" customWidth="1"/>
    <col min="5" max="5" width="8.28515625" customWidth="1"/>
    <col min="6" max="6" width="14.28515625" style="10" customWidth="1"/>
    <col min="7" max="7" width="7.5703125" customWidth="1"/>
    <col min="8" max="8" width="13.5703125" style="10" customWidth="1"/>
    <col min="9" max="9" width="8.42578125" style="10" customWidth="1"/>
    <col min="10" max="10" width="13.7109375" style="10" customWidth="1"/>
    <col min="11" max="11" width="7.140625" style="10" customWidth="1"/>
    <col min="12" max="13" width="12.42578125" style="10" customWidth="1"/>
    <col min="14" max="14" width="11.85546875" customWidth="1"/>
    <col min="15" max="15" width="10.42578125" customWidth="1"/>
    <col min="16" max="16" width="10.5703125" bestFit="1" customWidth="1"/>
  </cols>
  <sheetData>
    <row r="1" spans="1:16" ht="75" x14ac:dyDescent="0.25">
      <c r="A1" s="7" t="s">
        <v>25</v>
      </c>
      <c r="B1" s="8" t="s">
        <v>4</v>
      </c>
      <c r="C1" s="8" t="s">
        <v>103</v>
      </c>
      <c r="D1" s="12" t="s">
        <v>5</v>
      </c>
      <c r="E1" s="8" t="s">
        <v>127</v>
      </c>
      <c r="F1" s="9" t="s">
        <v>6</v>
      </c>
      <c r="G1" s="8" t="s">
        <v>7</v>
      </c>
      <c r="H1" s="12" t="s">
        <v>8</v>
      </c>
      <c r="I1" s="9" t="s">
        <v>124</v>
      </c>
      <c r="J1" s="9" t="s">
        <v>9</v>
      </c>
      <c r="K1" s="9" t="s">
        <v>111</v>
      </c>
      <c r="L1" s="9" t="s">
        <v>160</v>
      </c>
      <c r="M1" s="9" t="s">
        <v>159</v>
      </c>
      <c r="N1" s="8" t="s">
        <v>161</v>
      </c>
      <c r="O1" s="9" t="s">
        <v>147</v>
      </c>
    </row>
    <row r="2" spans="1:16" hidden="1" outlineLevel="1" x14ac:dyDescent="0.25">
      <c r="A2" t="s">
        <v>26</v>
      </c>
      <c r="B2" t="s">
        <v>13</v>
      </c>
      <c r="D2" s="22">
        <f>181.5*175</f>
        <v>31762.5</v>
      </c>
      <c r="E2">
        <v>181.5</v>
      </c>
      <c r="F2" s="10" t="s">
        <v>10</v>
      </c>
      <c r="G2" t="s">
        <v>10</v>
      </c>
      <c r="H2" s="22">
        <v>33922.35</v>
      </c>
      <c r="I2" s="22"/>
      <c r="J2" s="22">
        <v>31762.5</v>
      </c>
      <c r="K2" s="29">
        <v>42031</v>
      </c>
      <c r="L2" s="22">
        <f>H2-H2/1.05</f>
        <v>1615.3500000000022</v>
      </c>
      <c r="M2" s="22">
        <v>0</v>
      </c>
      <c r="N2" s="10">
        <f>L2-M2</f>
        <v>1615.3500000000022</v>
      </c>
      <c r="O2" s="10">
        <f>E2*3</f>
        <v>544.5</v>
      </c>
    </row>
    <row r="3" spans="1:16" hidden="1" outlineLevel="1" x14ac:dyDescent="0.25">
      <c r="A3" t="s">
        <v>26</v>
      </c>
      <c r="B3" t="s">
        <v>12</v>
      </c>
      <c r="D3" s="22">
        <f>142*147</f>
        <v>20874</v>
      </c>
      <c r="E3">
        <v>142</v>
      </c>
      <c r="F3" s="10" t="s">
        <v>10</v>
      </c>
      <c r="G3" t="s">
        <v>10</v>
      </c>
      <c r="H3" s="22">
        <v>22365.01</v>
      </c>
      <c r="I3" s="22"/>
      <c r="J3" s="22">
        <v>20874</v>
      </c>
      <c r="K3" s="29">
        <v>42031</v>
      </c>
      <c r="L3" s="22">
        <f t="shared" ref="L3:L13" si="0">H3-H3/1.05</f>
        <v>1065.0004761904784</v>
      </c>
      <c r="M3" s="22">
        <v>0</v>
      </c>
      <c r="N3" s="10">
        <f t="shared" ref="N3:N13" si="1">L3-M3</f>
        <v>1065.0004761904784</v>
      </c>
      <c r="O3" s="10">
        <f>E3*3</f>
        <v>426</v>
      </c>
    </row>
    <row r="4" spans="1:16" hidden="1" outlineLevel="1" x14ac:dyDescent="0.25">
      <c r="A4" t="s">
        <v>26</v>
      </c>
      <c r="B4" t="s">
        <v>0</v>
      </c>
      <c r="D4" s="22">
        <v>31752</v>
      </c>
      <c r="E4">
        <v>216</v>
      </c>
      <c r="F4" s="10" t="s">
        <v>10</v>
      </c>
      <c r="G4" t="s">
        <v>10</v>
      </c>
      <c r="H4" s="22">
        <v>32432.400000000001</v>
      </c>
      <c r="I4" s="22"/>
      <c r="J4" s="22">
        <f>D4</f>
        <v>31752</v>
      </c>
      <c r="K4" s="22"/>
      <c r="L4" s="22">
        <f t="shared" si="0"/>
        <v>1544.4000000000015</v>
      </c>
      <c r="M4" s="22">
        <f>D4-D4/1.05</f>
        <v>1512</v>
      </c>
      <c r="N4" s="10">
        <f t="shared" si="1"/>
        <v>32.400000000001455</v>
      </c>
      <c r="O4" s="10">
        <f>E4*3</f>
        <v>648</v>
      </c>
    </row>
    <row r="5" spans="1:16" hidden="1" outlineLevel="1" x14ac:dyDescent="0.25">
      <c r="A5" t="s">
        <v>26</v>
      </c>
      <c r="B5" t="s">
        <v>14</v>
      </c>
      <c r="D5" s="22">
        <v>30030</v>
      </c>
      <c r="E5">
        <v>220</v>
      </c>
      <c r="F5" s="10" t="s">
        <v>10</v>
      </c>
      <c r="G5" t="s">
        <v>10</v>
      </c>
      <c r="H5" s="22">
        <v>30723</v>
      </c>
      <c r="I5" s="22"/>
      <c r="J5" s="22">
        <f>D5</f>
        <v>30030</v>
      </c>
      <c r="K5" s="22"/>
      <c r="L5" s="22">
        <f t="shared" si="0"/>
        <v>1463</v>
      </c>
      <c r="M5" s="22">
        <f>D5-D5/1.05</f>
        <v>1430</v>
      </c>
      <c r="N5" s="10">
        <f t="shared" si="1"/>
        <v>33</v>
      </c>
      <c r="O5" s="10">
        <f>E5*3</f>
        <v>660</v>
      </c>
    </row>
    <row r="6" spans="1:16" hidden="1" outlineLevel="1" x14ac:dyDescent="0.25">
      <c r="A6" t="s">
        <v>26</v>
      </c>
      <c r="B6" t="s">
        <v>21</v>
      </c>
      <c r="D6" s="22">
        <v>1434.83</v>
      </c>
      <c r="F6" s="10" t="s">
        <v>10</v>
      </c>
      <c r="G6" t="s">
        <v>31</v>
      </c>
      <c r="H6" s="22">
        <v>1434.83</v>
      </c>
      <c r="I6" s="22"/>
      <c r="J6" s="22">
        <v>1434.83</v>
      </c>
      <c r="K6" s="29">
        <v>42031</v>
      </c>
      <c r="L6" s="22">
        <f t="shared" si="0"/>
        <v>68.325238095238092</v>
      </c>
      <c r="M6" s="22">
        <f>D6-D6/1.05</f>
        <v>68.325238095238092</v>
      </c>
      <c r="N6" s="10">
        <f t="shared" si="1"/>
        <v>0</v>
      </c>
      <c r="O6" s="10"/>
    </row>
    <row r="7" spans="1:16" hidden="1" outlineLevel="1" x14ac:dyDescent="0.25">
      <c r="A7" t="s">
        <v>26</v>
      </c>
      <c r="B7" t="s">
        <v>15</v>
      </c>
      <c r="D7" s="22">
        <v>24543.75</v>
      </c>
      <c r="E7">
        <v>187</v>
      </c>
      <c r="F7" s="10" t="s">
        <v>10</v>
      </c>
      <c r="G7" t="s">
        <v>10</v>
      </c>
      <c r="H7" s="22">
        <v>25132.799999999999</v>
      </c>
      <c r="I7" s="22"/>
      <c r="J7" s="22">
        <f>10000+14543.75</f>
        <v>24543.75</v>
      </c>
      <c r="K7" s="22"/>
      <c r="L7" s="22">
        <f t="shared" si="0"/>
        <v>1196.7999999999993</v>
      </c>
      <c r="M7" s="22">
        <f>D7-D7/1.05</f>
        <v>1168.75</v>
      </c>
      <c r="N7" s="10">
        <f t="shared" si="1"/>
        <v>28.049999999999272</v>
      </c>
      <c r="O7" s="10">
        <f>E7*3</f>
        <v>561</v>
      </c>
    </row>
    <row r="8" spans="1:16" hidden="1" outlineLevel="1" x14ac:dyDescent="0.25">
      <c r="A8" t="s">
        <v>26</v>
      </c>
      <c r="B8" t="s">
        <v>16</v>
      </c>
      <c r="D8" s="22">
        <v>20671.88</v>
      </c>
      <c r="E8">
        <v>157.5</v>
      </c>
      <c r="F8" s="10" t="s">
        <v>10</v>
      </c>
      <c r="G8" t="s">
        <v>10</v>
      </c>
      <c r="H8" s="22">
        <v>21168</v>
      </c>
      <c r="I8" s="22"/>
      <c r="J8" s="22">
        <f>D8</f>
        <v>20671.88</v>
      </c>
      <c r="K8" s="22"/>
      <c r="L8" s="22">
        <f t="shared" si="0"/>
        <v>1008</v>
      </c>
      <c r="M8" s="22">
        <f>D8-D8/1.05</f>
        <v>984.37523809523918</v>
      </c>
      <c r="N8" s="10">
        <f t="shared" si="1"/>
        <v>23.624761904760817</v>
      </c>
      <c r="O8" s="10">
        <f>E8*3</f>
        <v>472.5</v>
      </c>
    </row>
    <row r="9" spans="1:16" hidden="1" outlineLevel="1" x14ac:dyDescent="0.25">
      <c r="A9" t="s">
        <v>26</v>
      </c>
      <c r="B9" t="s">
        <v>20</v>
      </c>
      <c r="D9" s="22">
        <v>2272.08</v>
      </c>
      <c r="F9" s="10" t="s">
        <v>10</v>
      </c>
      <c r="G9" t="s">
        <v>31</v>
      </c>
      <c r="H9" s="22">
        <v>2272.08</v>
      </c>
      <c r="I9" s="22"/>
      <c r="J9" s="22">
        <v>2272.08</v>
      </c>
      <c r="K9" s="29">
        <v>42031</v>
      </c>
      <c r="L9" s="22">
        <f t="shared" si="0"/>
        <v>108.1942857142858</v>
      </c>
      <c r="M9" s="22">
        <f>D9-D9/1.05</f>
        <v>108.1942857142858</v>
      </c>
      <c r="N9" s="10">
        <f t="shared" si="1"/>
        <v>0</v>
      </c>
      <c r="O9" s="10"/>
    </row>
    <row r="10" spans="1:16" hidden="1" outlineLevel="1" x14ac:dyDescent="0.25">
      <c r="A10" t="s">
        <v>26</v>
      </c>
      <c r="B10" t="s">
        <v>17</v>
      </c>
      <c r="D10" s="22">
        <v>13860</v>
      </c>
      <c r="E10">
        <v>132</v>
      </c>
      <c r="F10" s="10" t="s">
        <v>10</v>
      </c>
      <c r="G10" t="s">
        <v>10</v>
      </c>
      <c r="H10" s="22">
        <v>14275.8</v>
      </c>
      <c r="I10" s="22"/>
      <c r="J10" s="22">
        <f>D10</f>
        <v>13860</v>
      </c>
      <c r="K10" s="22"/>
      <c r="L10" s="22">
        <f t="shared" si="0"/>
        <v>679.80000000000109</v>
      </c>
      <c r="M10" s="22">
        <f>D10-D10/1.05</f>
        <v>660</v>
      </c>
      <c r="N10" s="10">
        <f t="shared" si="1"/>
        <v>19.800000000001091</v>
      </c>
      <c r="O10" s="10">
        <f>E10*3</f>
        <v>396</v>
      </c>
    </row>
    <row r="11" spans="1:16" hidden="1" outlineLevel="1" x14ac:dyDescent="0.25">
      <c r="A11" t="s">
        <v>26</v>
      </c>
      <c r="B11" t="s">
        <v>11</v>
      </c>
      <c r="D11" s="22">
        <v>24675</v>
      </c>
      <c r="E11">
        <v>188</v>
      </c>
      <c r="F11" s="10" t="s">
        <v>10</v>
      </c>
      <c r="G11" t="s">
        <v>10</v>
      </c>
      <c r="H11" s="22">
        <v>25267.200000000001</v>
      </c>
      <c r="I11" s="22"/>
      <c r="J11" s="22">
        <f>10000+14675</f>
        <v>24675</v>
      </c>
      <c r="K11" s="22"/>
      <c r="L11" s="22">
        <f t="shared" si="0"/>
        <v>1203.2000000000007</v>
      </c>
      <c r="M11" s="22">
        <f>D11-D11/1.05</f>
        <v>1175</v>
      </c>
      <c r="N11" s="10">
        <f t="shared" si="1"/>
        <v>28.200000000000728</v>
      </c>
      <c r="O11" s="10">
        <f>E11*3</f>
        <v>564</v>
      </c>
    </row>
    <row r="12" spans="1:16" hidden="1" outlineLevel="1" x14ac:dyDescent="0.25">
      <c r="A12" s="52" t="s">
        <v>26</v>
      </c>
      <c r="B12" t="s">
        <v>19</v>
      </c>
      <c r="D12" s="22">
        <v>2075.7399999999998</v>
      </c>
      <c r="F12" s="10" t="s">
        <v>10</v>
      </c>
      <c r="G12" t="s">
        <v>33</v>
      </c>
      <c r="H12" s="22">
        <v>2237.4</v>
      </c>
      <c r="I12" s="22"/>
      <c r="J12" s="22">
        <v>2075.7399999999998</v>
      </c>
      <c r="K12" s="29">
        <v>42031</v>
      </c>
      <c r="L12" s="22">
        <f t="shared" si="0"/>
        <v>106.54285714285743</v>
      </c>
      <c r="M12" s="22">
        <f>D12-D12/1.05</f>
        <v>98.844761904761981</v>
      </c>
      <c r="N12" s="10">
        <f t="shared" si="1"/>
        <v>7.6980952380954477</v>
      </c>
      <c r="O12" s="10"/>
    </row>
    <row r="13" spans="1:16" hidden="1" outlineLevel="1" x14ac:dyDescent="0.25">
      <c r="A13" t="s">
        <v>26</v>
      </c>
      <c r="B13" t="s">
        <v>18</v>
      </c>
      <c r="D13" s="22">
        <v>23144.1</v>
      </c>
      <c r="E13">
        <v>206</v>
      </c>
      <c r="F13" s="10" t="s">
        <v>10</v>
      </c>
      <c r="G13" t="s">
        <v>10</v>
      </c>
      <c r="H13" s="22">
        <v>23793</v>
      </c>
      <c r="I13" s="22"/>
      <c r="J13" s="10">
        <f>10000+13144.1</f>
        <v>23144.1</v>
      </c>
      <c r="L13" s="22">
        <f t="shared" si="0"/>
        <v>1133</v>
      </c>
      <c r="M13" s="22">
        <f>D13-D13/1.05</f>
        <v>1102.1000000000022</v>
      </c>
      <c r="N13" s="10">
        <f t="shared" si="1"/>
        <v>30.899999999997817</v>
      </c>
      <c r="O13" s="10">
        <f>E13*3</f>
        <v>618</v>
      </c>
    </row>
    <row r="14" spans="1:16" collapsed="1" x14ac:dyDescent="0.25">
      <c r="A14" s="5" t="s">
        <v>26</v>
      </c>
      <c r="B14" s="5" t="s">
        <v>27</v>
      </c>
      <c r="C14" s="5"/>
      <c r="D14" s="11">
        <f>SUM(D3:D13)</f>
        <v>195333.38</v>
      </c>
      <c r="E14" s="6">
        <f>SUM(E2:E13)</f>
        <v>1630</v>
      </c>
      <c r="F14" s="6"/>
      <c r="G14" s="6"/>
      <c r="H14" s="11">
        <f>SUM(H2:H13)</f>
        <v>235023.87</v>
      </c>
      <c r="I14" s="11"/>
      <c r="J14" s="11">
        <f>SUM(J2:J13)</f>
        <v>227095.88</v>
      </c>
      <c r="K14" s="11"/>
      <c r="L14" s="11">
        <f t="shared" ref="L14:O14" si="2">SUM(L2:L13)</f>
        <v>11191.612857142864</v>
      </c>
      <c r="M14" s="11">
        <f t="shared" si="2"/>
        <v>8307.5895238095272</v>
      </c>
      <c r="N14" s="11">
        <f t="shared" si="2"/>
        <v>2884.0233333333372</v>
      </c>
      <c r="O14" s="11">
        <f t="shared" si="2"/>
        <v>4890</v>
      </c>
      <c r="P14" s="10"/>
    </row>
    <row r="15" spans="1:16" hidden="1" outlineLevel="1" x14ac:dyDescent="0.25">
      <c r="A15" t="s">
        <v>28</v>
      </c>
      <c r="B15" t="s">
        <v>30</v>
      </c>
      <c r="C15" s="42" t="s">
        <v>104</v>
      </c>
      <c r="D15" s="22">
        <f>147*175</f>
        <v>25725</v>
      </c>
      <c r="E15">
        <v>147</v>
      </c>
      <c r="F15" s="10">
        <v>27474.3</v>
      </c>
      <c r="G15" t="s">
        <v>32</v>
      </c>
      <c r="H15" s="43">
        <v>27474.3</v>
      </c>
      <c r="I15" s="43"/>
      <c r="J15" s="10">
        <v>25725</v>
      </c>
      <c r="K15" s="33">
        <v>42031</v>
      </c>
      <c r="L15" s="22">
        <f t="shared" ref="L15" si="3">H15-H15/1.05</f>
        <v>1308.2999999999993</v>
      </c>
      <c r="M15" s="22"/>
      <c r="N15" s="10">
        <f t="shared" ref="N15" si="4">L15-M15</f>
        <v>1308.2999999999993</v>
      </c>
      <c r="O15" s="10">
        <f>E15*3</f>
        <v>441</v>
      </c>
    </row>
    <row r="16" spans="1:16" hidden="1" outlineLevel="1" x14ac:dyDescent="0.25">
      <c r="A16" t="s">
        <v>28</v>
      </c>
      <c r="B16" t="s">
        <v>12</v>
      </c>
      <c r="C16" s="41" t="s">
        <v>112</v>
      </c>
      <c r="D16" s="22">
        <f>E16*147</f>
        <v>16353.75</v>
      </c>
      <c r="E16">
        <v>111.25</v>
      </c>
      <c r="F16" s="10">
        <f>E16*150*1.05</f>
        <v>17521.875</v>
      </c>
      <c r="G16" t="s">
        <v>32</v>
      </c>
      <c r="H16" s="22">
        <v>17521.88</v>
      </c>
      <c r="I16" s="22"/>
      <c r="J16" s="22">
        <v>16353.75</v>
      </c>
      <c r="K16" s="29">
        <v>42037</v>
      </c>
      <c r="L16" s="22">
        <f t="shared" ref="L16:L17" si="5">H16-H16/1.05</f>
        <v>834.37523809523918</v>
      </c>
      <c r="M16" s="22">
        <v>0</v>
      </c>
      <c r="N16" s="10">
        <f t="shared" ref="N16:N17" si="6">L16-M16</f>
        <v>834.37523809523918</v>
      </c>
      <c r="O16" s="10">
        <f t="shared" ref="O16:O26" si="7">E16*3</f>
        <v>333.75</v>
      </c>
    </row>
    <row r="17" spans="1:15" hidden="1" outlineLevel="1" x14ac:dyDescent="0.25">
      <c r="A17" t="s">
        <v>28</v>
      </c>
      <c r="B17" t="s">
        <v>0</v>
      </c>
      <c r="C17" s="44" t="s">
        <v>105</v>
      </c>
      <c r="D17" s="10">
        <v>17125.5</v>
      </c>
      <c r="E17">
        <v>116.5</v>
      </c>
      <c r="F17" s="10">
        <v>17492.48</v>
      </c>
      <c r="G17" t="s">
        <v>32</v>
      </c>
      <c r="H17" s="43">
        <v>17492.48</v>
      </c>
      <c r="I17" s="43"/>
      <c r="J17" s="22">
        <f>D17</f>
        <v>17125.5</v>
      </c>
      <c r="K17" s="22"/>
      <c r="L17" s="22">
        <f t="shared" si="5"/>
        <v>832.97523809523773</v>
      </c>
      <c r="M17" s="22">
        <f>D17-D17/1.05</f>
        <v>815.5</v>
      </c>
      <c r="N17" s="10">
        <f t="shared" si="6"/>
        <v>17.475238095237728</v>
      </c>
      <c r="O17" s="10">
        <f t="shared" si="7"/>
        <v>349.5</v>
      </c>
    </row>
    <row r="18" spans="1:15" hidden="1" outlineLevel="1" x14ac:dyDescent="0.25">
      <c r="A18" t="s">
        <v>28</v>
      </c>
      <c r="B18" t="s">
        <v>14</v>
      </c>
      <c r="C18" s="45" t="s">
        <v>106</v>
      </c>
      <c r="D18" s="10">
        <v>22454.25</v>
      </c>
      <c r="E18">
        <v>164.5</v>
      </c>
      <c r="F18" s="10">
        <v>22972.43</v>
      </c>
      <c r="G18" t="s">
        <v>32</v>
      </c>
      <c r="H18" s="43">
        <v>22972.43</v>
      </c>
      <c r="I18" s="43"/>
      <c r="J18" s="22">
        <f>D18</f>
        <v>22454.25</v>
      </c>
      <c r="K18" s="22"/>
      <c r="L18" s="22">
        <f t="shared" ref="L18:L26" si="8">H18-H18/1.05</f>
        <v>1093.9252380952385</v>
      </c>
      <c r="M18" s="22">
        <f t="shared" ref="M18:M26" si="9">D18-D18/1.05</f>
        <v>1069.25</v>
      </c>
      <c r="N18" s="10">
        <f t="shared" ref="N18:N26" si="10">L18-M18</f>
        <v>24.675238095238456</v>
      </c>
      <c r="O18" s="10">
        <f t="shared" si="7"/>
        <v>493.5</v>
      </c>
    </row>
    <row r="19" spans="1:15" hidden="1" outlineLevel="1" x14ac:dyDescent="0.25">
      <c r="A19" t="s">
        <v>28</v>
      </c>
      <c r="B19" t="s">
        <v>21</v>
      </c>
      <c r="C19" s="46" t="s">
        <v>107</v>
      </c>
      <c r="D19" s="22">
        <v>1792.4</v>
      </c>
      <c r="F19" s="10">
        <v>1792.4</v>
      </c>
      <c r="G19" t="s">
        <v>31</v>
      </c>
      <c r="H19" s="43">
        <v>1792.4</v>
      </c>
      <c r="I19" s="43"/>
      <c r="J19" s="22">
        <v>1792.4</v>
      </c>
      <c r="K19" s="29">
        <v>42031</v>
      </c>
      <c r="L19" s="22">
        <f t="shared" si="8"/>
        <v>85.352380952381054</v>
      </c>
      <c r="M19" s="22">
        <f t="shared" si="9"/>
        <v>85.352380952381054</v>
      </c>
      <c r="N19" s="10">
        <f t="shared" si="10"/>
        <v>0</v>
      </c>
      <c r="O19" s="10">
        <f t="shared" si="7"/>
        <v>0</v>
      </c>
    </row>
    <row r="20" spans="1:15" hidden="1" outlineLevel="1" x14ac:dyDescent="0.25">
      <c r="A20" t="s">
        <v>28</v>
      </c>
      <c r="B20" t="s">
        <v>15</v>
      </c>
      <c r="C20" s="48" t="s">
        <v>109</v>
      </c>
      <c r="D20" s="22">
        <v>22968.75</v>
      </c>
      <c r="E20" s="16">
        <v>175</v>
      </c>
      <c r="F20" s="22">
        <v>23520</v>
      </c>
      <c r="G20" s="29">
        <v>42015</v>
      </c>
      <c r="H20" s="43">
        <v>23520</v>
      </c>
      <c r="I20" s="43"/>
      <c r="J20" s="22">
        <f>D20</f>
        <v>22968.75</v>
      </c>
      <c r="K20" s="22"/>
      <c r="L20" s="22">
        <f t="shared" si="8"/>
        <v>1120</v>
      </c>
      <c r="M20" s="22">
        <f t="shared" si="9"/>
        <v>1093.75</v>
      </c>
      <c r="N20" s="10">
        <f t="shared" si="10"/>
        <v>26.25</v>
      </c>
      <c r="O20" s="10">
        <f t="shared" si="7"/>
        <v>525</v>
      </c>
    </row>
    <row r="21" spans="1:15" hidden="1" outlineLevel="1" x14ac:dyDescent="0.25">
      <c r="A21" t="s">
        <v>28</v>
      </c>
      <c r="B21" t="s">
        <v>16</v>
      </c>
      <c r="C21" s="49" t="s">
        <v>110</v>
      </c>
      <c r="D21" s="10">
        <v>14568.75</v>
      </c>
      <c r="E21">
        <v>111</v>
      </c>
      <c r="F21" s="10">
        <v>14918.4</v>
      </c>
      <c r="G21" t="s">
        <v>32</v>
      </c>
      <c r="H21" s="43">
        <v>14918.4</v>
      </c>
      <c r="I21" s="43"/>
      <c r="J21" s="22">
        <f>D21</f>
        <v>14568.75</v>
      </c>
      <c r="K21" s="22"/>
      <c r="L21" s="22">
        <f t="shared" si="8"/>
        <v>710.40000000000146</v>
      </c>
      <c r="M21" s="22">
        <f t="shared" si="9"/>
        <v>693.75</v>
      </c>
      <c r="N21" s="10">
        <f t="shared" si="10"/>
        <v>16.650000000001455</v>
      </c>
      <c r="O21" s="10">
        <f t="shared" si="7"/>
        <v>333</v>
      </c>
    </row>
    <row r="22" spans="1:15" hidden="1" outlineLevel="1" x14ac:dyDescent="0.25">
      <c r="A22" t="s">
        <v>28</v>
      </c>
      <c r="B22" t="s">
        <v>20</v>
      </c>
      <c r="D22" s="10">
        <v>0</v>
      </c>
      <c r="J22" s="22"/>
      <c r="K22" s="22"/>
      <c r="L22" s="22">
        <f t="shared" si="8"/>
        <v>0</v>
      </c>
      <c r="M22" s="22">
        <f t="shared" si="9"/>
        <v>0</v>
      </c>
      <c r="N22" s="10">
        <f t="shared" si="10"/>
        <v>0</v>
      </c>
      <c r="O22" s="10">
        <f t="shared" si="7"/>
        <v>0</v>
      </c>
    </row>
    <row r="23" spans="1:15" hidden="1" outlineLevel="1" x14ac:dyDescent="0.25">
      <c r="A23" t="s">
        <v>28</v>
      </c>
      <c r="B23" t="s">
        <v>17</v>
      </c>
      <c r="C23" s="47" t="s">
        <v>108</v>
      </c>
      <c r="D23" s="10">
        <v>16800</v>
      </c>
      <c r="E23">
        <v>160</v>
      </c>
      <c r="F23" s="10">
        <v>17304</v>
      </c>
      <c r="G23" t="s">
        <v>32</v>
      </c>
      <c r="H23" s="43">
        <v>17304</v>
      </c>
      <c r="I23" s="43"/>
      <c r="J23" s="22">
        <f>D23</f>
        <v>16800</v>
      </c>
      <c r="K23" s="22"/>
      <c r="L23" s="22">
        <f t="shared" si="8"/>
        <v>824</v>
      </c>
      <c r="M23" s="22">
        <f t="shared" si="9"/>
        <v>800</v>
      </c>
      <c r="N23" s="10">
        <f t="shared" si="10"/>
        <v>24</v>
      </c>
      <c r="O23" s="10">
        <f t="shared" si="7"/>
        <v>480</v>
      </c>
    </row>
    <row r="24" spans="1:15" hidden="1" outlineLevel="1" x14ac:dyDescent="0.25">
      <c r="A24" t="s">
        <v>28</v>
      </c>
      <c r="B24" t="s">
        <v>11</v>
      </c>
      <c r="D24" s="10">
        <v>19425</v>
      </c>
      <c r="E24">
        <v>148</v>
      </c>
      <c r="F24" s="10">
        <v>19891.2</v>
      </c>
      <c r="G24" t="s">
        <v>32</v>
      </c>
      <c r="H24" s="10">
        <v>19891.2</v>
      </c>
      <c r="J24" s="10">
        <f>D24</f>
        <v>19425</v>
      </c>
      <c r="L24" s="22">
        <f t="shared" si="8"/>
        <v>947.20000000000073</v>
      </c>
      <c r="M24" s="22">
        <f t="shared" si="9"/>
        <v>925</v>
      </c>
      <c r="N24" s="10">
        <f t="shared" si="10"/>
        <v>22.200000000000728</v>
      </c>
      <c r="O24" s="10">
        <f t="shared" si="7"/>
        <v>444</v>
      </c>
    </row>
    <row r="25" spans="1:15" hidden="1" outlineLevel="1" x14ac:dyDescent="0.25">
      <c r="A25" t="s">
        <v>28</v>
      </c>
      <c r="B25" t="s">
        <v>19</v>
      </c>
      <c r="D25" s="10">
        <v>0</v>
      </c>
      <c r="L25" s="22">
        <f t="shared" si="8"/>
        <v>0</v>
      </c>
      <c r="M25" s="22">
        <f t="shared" si="9"/>
        <v>0</v>
      </c>
      <c r="N25" s="10">
        <f t="shared" si="10"/>
        <v>0</v>
      </c>
      <c r="O25" s="10">
        <f t="shared" si="7"/>
        <v>0</v>
      </c>
    </row>
    <row r="26" spans="1:15" hidden="1" outlineLevel="1" x14ac:dyDescent="0.25">
      <c r="A26" t="s">
        <v>28</v>
      </c>
      <c r="B26" t="s">
        <v>18</v>
      </c>
      <c r="D26" s="10">
        <v>17638.95</v>
      </c>
      <c r="E26">
        <v>157</v>
      </c>
      <c r="F26" s="10">
        <v>18133.5</v>
      </c>
      <c r="G26" t="s">
        <v>32</v>
      </c>
      <c r="H26" s="10">
        <v>18133.5</v>
      </c>
      <c r="J26" s="10">
        <f>D26</f>
        <v>17638.95</v>
      </c>
      <c r="L26" s="22">
        <f t="shared" si="8"/>
        <v>863.5</v>
      </c>
      <c r="M26" s="22">
        <f t="shared" si="9"/>
        <v>839.95000000000073</v>
      </c>
      <c r="N26" s="10">
        <f t="shared" si="10"/>
        <v>23.549999999999272</v>
      </c>
      <c r="O26" s="10">
        <f t="shared" si="7"/>
        <v>471</v>
      </c>
    </row>
    <row r="27" spans="1:15" collapsed="1" x14ac:dyDescent="0.25">
      <c r="A27" s="5" t="s">
        <v>29</v>
      </c>
      <c r="B27" s="5" t="s">
        <v>27</v>
      </c>
      <c r="C27" s="5"/>
      <c r="D27" s="11">
        <f>SUM(D15:D26)</f>
        <v>174852.35</v>
      </c>
      <c r="E27" s="6">
        <f>SUM(E15:E26)</f>
        <v>1290.25</v>
      </c>
      <c r="F27" s="11">
        <f>SUM(F15:F26)</f>
        <v>181020.58499999999</v>
      </c>
      <c r="G27" s="11"/>
      <c r="H27" s="11">
        <f>SUM(H15:H26)</f>
        <v>181020.59</v>
      </c>
      <c r="I27" s="11"/>
      <c r="J27" s="11">
        <f>SUM(J15:J26)</f>
        <v>174852.35</v>
      </c>
      <c r="K27" s="11"/>
      <c r="L27" s="11">
        <f t="shared" ref="L27:O27" si="11">SUM(L15:L26)</f>
        <v>8620.0280952380981</v>
      </c>
      <c r="M27" s="11">
        <f t="shared" si="11"/>
        <v>6322.552380952382</v>
      </c>
      <c r="N27" s="11">
        <f t="shared" si="11"/>
        <v>2297.4757142857161</v>
      </c>
      <c r="O27" s="11">
        <f t="shared" si="11"/>
        <v>3870.75</v>
      </c>
    </row>
    <row r="28" spans="1:15" hidden="1" outlineLevel="1" x14ac:dyDescent="0.25">
      <c r="A28" t="s">
        <v>102</v>
      </c>
      <c r="B28" t="s">
        <v>30</v>
      </c>
      <c r="C28" s="41" t="s">
        <v>113</v>
      </c>
      <c r="D28" s="10">
        <f>194.5*175</f>
        <v>34037.5</v>
      </c>
      <c r="E28">
        <v>194.5</v>
      </c>
      <c r="F28" s="10">
        <f>E28*178*1.05</f>
        <v>36352.050000000003</v>
      </c>
      <c r="G28" s="33">
        <v>42038</v>
      </c>
      <c r="H28" s="10">
        <v>36352.050000000003</v>
      </c>
      <c r="I28" s="33">
        <v>42048</v>
      </c>
      <c r="J28" s="10">
        <v>34037.5</v>
      </c>
      <c r="K28" s="33">
        <v>42065</v>
      </c>
      <c r="L28" s="22">
        <f>H28-H28/1.05</f>
        <v>1731.0500000000029</v>
      </c>
      <c r="M28" s="22">
        <v>0</v>
      </c>
      <c r="N28" s="10">
        <f>L28-M28</f>
        <v>1731.0500000000029</v>
      </c>
      <c r="O28" s="10">
        <f>E28*3</f>
        <v>583.5</v>
      </c>
    </row>
    <row r="29" spans="1:15" hidden="1" outlineLevel="1" x14ac:dyDescent="0.25">
      <c r="A29" t="s">
        <v>102</v>
      </c>
      <c r="B29" t="s">
        <v>12</v>
      </c>
      <c r="C29" s="41" t="s">
        <v>114</v>
      </c>
      <c r="D29" s="10">
        <v>27396.25</v>
      </c>
      <c r="E29">
        <v>191.25</v>
      </c>
      <c r="F29" s="10">
        <f>(119.5*150+71.75*140)*1.05</f>
        <v>29368.5</v>
      </c>
      <c r="G29" s="33">
        <v>42037</v>
      </c>
      <c r="H29" s="10">
        <v>29368.5</v>
      </c>
      <c r="I29" s="33">
        <v>42062</v>
      </c>
      <c r="J29" s="10">
        <v>27936.25</v>
      </c>
      <c r="K29" s="33">
        <v>42067</v>
      </c>
      <c r="L29" s="22">
        <f t="shared" ref="L29:L30" si="12">H29-H29/1.05</f>
        <v>1398.5</v>
      </c>
      <c r="M29" s="22">
        <v>0</v>
      </c>
      <c r="N29" s="10">
        <f t="shared" ref="N29:N30" si="13">L29-M29</f>
        <v>1398.5</v>
      </c>
      <c r="O29" s="10">
        <f>E29*3</f>
        <v>573.75</v>
      </c>
    </row>
    <row r="30" spans="1:15" hidden="1" outlineLevel="1" x14ac:dyDescent="0.25">
      <c r="A30" t="s">
        <v>102</v>
      </c>
      <c r="B30" t="s">
        <v>0</v>
      </c>
      <c r="C30" s="41" t="s">
        <v>115</v>
      </c>
      <c r="D30" s="10">
        <f>202*140*1.05</f>
        <v>29694</v>
      </c>
      <c r="E30">
        <v>202</v>
      </c>
      <c r="F30" s="10">
        <v>30330.3</v>
      </c>
      <c r="G30" s="33">
        <v>42038</v>
      </c>
      <c r="H30" s="10">
        <v>30330.3</v>
      </c>
      <c r="I30" s="33">
        <v>42048</v>
      </c>
      <c r="J30" s="10">
        <f>D30</f>
        <v>29694</v>
      </c>
      <c r="K30" s="33">
        <v>42058</v>
      </c>
      <c r="L30" s="22">
        <f t="shared" si="12"/>
        <v>1444.3000000000029</v>
      </c>
      <c r="M30" s="22">
        <f>D30-D30/1.05</f>
        <v>1414</v>
      </c>
      <c r="N30" s="10">
        <f t="shared" si="13"/>
        <v>30.30000000000291</v>
      </c>
      <c r="O30" s="10">
        <f>E30*3</f>
        <v>606</v>
      </c>
    </row>
    <row r="31" spans="1:15" hidden="1" outlineLevel="1" x14ac:dyDescent="0.25">
      <c r="A31" t="s">
        <v>102</v>
      </c>
      <c r="B31" t="s">
        <v>14</v>
      </c>
      <c r="C31" s="41" t="s">
        <v>118</v>
      </c>
      <c r="D31" s="10">
        <f>E31*130*1.05</f>
        <v>33647.25</v>
      </c>
      <c r="E31">
        <v>246.5</v>
      </c>
      <c r="F31" s="10">
        <f>E31*133*1.05</f>
        <v>34423.724999999999</v>
      </c>
      <c r="G31" s="33">
        <v>42038</v>
      </c>
      <c r="H31" s="10">
        <v>34423.730000000003</v>
      </c>
      <c r="I31" s="33">
        <v>42054</v>
      </c>
      <c r="J31" s="10">
        <f>D31</f>
        <v>33647.25</v>
      </c>
      <c r="K31" s="33">
        <v>42058</v>
      </c>
      <c r="L31" s="22">
        <f t="shared" ref="L31:L39" si="14">H31-H31/1.05</f>
        <v>1639.2252380952414</v>
      </c>
      <c r="M31" s="22">
        <f t="shared" ref="M31:M39" si="15">D31-D31/1.05</f>
        <v>1602.25</v>
      </c>
      <c r="N31" s="10">
        <f t="shared" ref="N31:N39" si="16">L31-M31</f>
        <v>36.975238095241366</v>
      </c>
      <c r="O31" s="10">
        <f>E31*3</f>
        <v>739.5</v>
      </c>
    </row>
    <row r="32" spans="1:15" hidden="1" outlineLevel="1" x14ac:dyDescent="0.25">
      <c r="A32" t="s">
        <v>102</v>
      </c>
      <c r="B32" t="s">
        <v>21</v>
      </c>
      <c r="C32" s="41" t="s">
        <v>121</v>
      </c>
      <c r="D32" s="10">
        <v>2507.83</v>
      </c>
      <c r="E32" t="s">
        <v>122</v>
      </c>
      <c r="F32" s="10">
        <v>2507.83</v>
      </c>
      <c r="G32" s="33">
        <v>42038</v>
      </c>
      <c r="H32" s="10">
        <v>2507.83</v>
      </c>
      <c r="I32" s="33">
        <v>42048</v>
      </c>
      <c r="J32" s="10">
        <f>D32</f>
        <v>2507.83</v>
      </c>
      <c r="K32" s="33">
        <v>42058</v>
      </c>
      <c r="L32" s="22">
        <f t="shared" si="14"/>
        <v>119.42047619047617</v>
      </c>
      <c r="M32" s="22">
        <f t="shared" si="15"/>
        <v>119.42047619047617</v>
      </c>
      <c r="N32" s="10">
        <f t="shared" si="16"/>
        <v>0</v>
      </c>
      <c r="O32" s="10"/>
    </row>
    <row r="33" spans="1:15" hidden="1" outlineLevel="1" x14ac:dyDescent="0.25">
      <c r="A33" t="s">
        <v>102</v>
      </c>
      <c r="B33" t="s">
        <v>15</v>
      </c>
      <c r="C33" s="41" t="s">
        <v>119</v>
      </c>
      <c r="D33" s="22">
        <f>125*1.05*E33</f>
        <v>29137.5</v>
      </c>
      <c r="E33" s="16">
        <v>222</v>
      </c>
      <c r="F33" s="22">
        <f>128*E33*1.05</f>
        <v>29836.800000000003</v>
      </c>
      <c r="G33" s="29">
        <v>42038</v>
      </c>
      <c r="H33" s="10">
        <f>F33</f>
        <v>29836.800000000003</v>
      </c>
      <c r="I33" s="33">
        <v>42048</v>
      </c>
      <c r="J33" s="10">
        <f>D33</f>
        <v>29137.5</v>
      </c>
      <c r="K33" s="33">
        <v>42058</v>
      </c>
      <c r="L33" s="22">
        <f t="shared" si="14"/>
        <v>1420.8000000000029</v>
      </c>
      <c r="M33" s="22">
        <f t="shared" si="15"/>
        <v>1387.5</v>
      </c>
      <c r="N33" s="10">
        <f t="shared" si="16"/>
        <v>33.30000000000291</v>
      </c>
      <c r="O33" s="10">
        <f>E33*3</f>
        <v>666</v>
      </c>
    </row>
    <row r="34" spans="1:15" hidden="1" outlineLevel="1" x14ac:dyDescent="0.25">
      <c r="A34" t="s">
        <v>102</v>
      </c>
      <c r="B34" t="s">
        <v>16</v>
      </c>
      <c r="C34" s="41" t="s">
        <v>116</v>
      </c>
      <c r="D34" s="10">
        <f>125*160.5*1.05</f>
        <v>21065.625</v>
      </c>
      <c r="E34">
        <v>160.5</v>
      </c>
      <c r="F34" s="10">
        <f>128*E34*1.05</f>
        <v>21571.200000000001</v>
      </c>
      <c r="G34" s="33">
        <v>42038</v>
      </c>
      <c r="H34" s="10">
        <v>21571.200000000001</v>
      </c>
      <c r="I34" s="33">
        <v>42058</v>
      </c>
      <c r="J34" s="10">
        <f>D34</f>
        <v>21065.625</v>
      </c>
      <c r="K34" s="33">
        <v>42058</v>
      </c>
      <c r="L34" s="22">
        <f t="shared" si="14"/>
        <v>1027.2000000000007</v>
      </c>
      <c r="M34" s="22">
        <f t="shared" si="15"/>
        <v>1003.125</v>
      </c>
      <c r="N34" s="10">
        <f t="shared" si="16"/>
        <v>24.075000000000728</v>
      </c>
      <c r="O34" s="10">
        <f>E34*3</f>
        <v>481.5</v>
      </c>
    </row>
    <row r="35" spans="1:15" hidden="1" outlineLevel="1" x14ac:dyDescent="0.25">
      <c r="A35" t="s">
        <v>102</v>
      </c>
      <c r="B35" t="s">
        <v>20</v>
      </c>
      <c r="C35" s="41" t="s">
        <v>123</v>
      </c>
      <c r="D35" s="10">
        <v>2010.53</v>
      </c>
      <c r="E35" t="s">
        <v>122</v>
      </c>
      <c r="F35" s="10">
        <v>2010.53</v>
      </c>
      <c r="G35" s="33">
        <v>42038</v>
      </c>
      <c r="H35" s="10">
        <v>2010.53</v>
      </c>
      <c r="I35" s="33">
        <v>42055</v>
      </c>
      <c r="J35" s="10">
        <f>D35</f>
        <v>2010.53</v>
      </c>
      <c r="K35" s="33">
        <v>42058</v>
      </c>
      <c r="L35" s="22">
        <f t="shared" si="14"/>
        <v>95.739523809523916</v>
      </c>
      <c r="M35" s="22">
        <f t="shared" si="15"/>
        <v>95.739523809523916</v>
      </c>
      <c r="N35" s="10">
        <f t="shared" si="16"/>
        <v>0</v>
      </c>
      <c r="O35" s="10"/>
    </row>
    <row r="36" spans="1:15" hidden="1" outlineLevel="1" x14ac:dyDescent="0.25">
      <c r="A36" t="s">
        <v>102</v>
      </c>
      <c r="B36" t="s">
        <v>17</v>
      </c>
      <c r="C36" s="50" t="s">
        <v>126</v>
      </c>
      <c r="D36" s="22">
        <v>10185</v>
      </c>
      <c r="E36">
        <v>97</v>
      </c>
      <c r="F36" s="10">
        <v>10490.55</v>
      </c>
      <c r="G36" s="33">
        <v>42024</v>
      </c>
      <c r="H36" s="10">
        <v>10490.55</v>
      </c>
      <c r="I36" s="33">
        <v>42034</v>
      </c>
      <c r="J36" s="10">
        <v>10185</v>
      </c>
      <c r="K36" s="33">
        <v>42037</v>
      </c>
      <c r="L36" s="22">
        <f t="shared" si="14"/>
        <v>499.55000000000109</v>
      </c>
      <c r="M36" s="22">
        <f t="shared" si="15"/>
        <v>485</v>
      </c>
      <c r="N36" s="10">
        <f t="shared" si="16"/>
        <v>14.550000000001091</v>
      </c>
      <c r="O36" s="10">
        <f>E36*3</f>
        <v>291</v>
      </c>
    </row>
    <row r="37" spans="1:15" hidden="1" outlineLevel="1" x14ac:dyDescent="0.25">
      <c r="A37" t="s">
        <v>102</v>
      </c>
      <c r="B37" t="s">
        <v>17</v>
      </c>
      <c r="C37" s="41" t="s">
        <v>125</v>
      </c>
      <c r="D37" s="10">
        <f>80*100*1.05</f>
        <v>8400</v>
      </c>
      <c r="E37">
        <v>160</v>
      </c>
      <c r="F37" s="10">
        <f>103*80*1.05</f>
        <v>8652</v>
      </c>
      <c r="G37" s="33">
        <v>42040</v>
      </c>
      <c r="H37" s="10">
        <v>8652</v>
      </c>
      <c r="I37" s="33">
        <v>42054</v>
      </c>
      <c r="J37" s="10">
        <f>D37</f>
        <v>8400</v>
      </c>
      <c r="K37" s="33">
        <v>42058</v>
      </c>
      <c r="L37" s="22">
        <f t="shared" si="14"/>
        <v>412</v>
      </c>
      <c r="M37" s="22">
        <f t="shared" si="15"/>
        <v>400</v>
      </c>
      <c r="N37" s="10">
        <f t="shared" si="16"/>
        <v>12</v>
      </c>
      <c r="O37" s="10">
        <f>E37*3</f>
        <v>480</v>
      </c>
    </row>
    <row r="38" spans="1:15" hidden="1" outlineLevel="1" x14ac:dyDescent="0.25">
      <c r="A38" t="s">
        <v>102</v>
      </c>
      <c r="B38" t="s">
        <v>11</v>
      </c>
      <c r="C38" s="41" t="s">
        <v>120</v>
      </c>
      <c r="D38" s="10">
        <f>125*212*1.05</f>
        <v>27825</v>
      </c>
      <c r="E38">
        <v>212</v>
      </c>
      <c r="F38" s="10">
        <f>E38*128*1.05</f>
        <v>28492.800000000003</v>
      </c>
      <c r="G38" s="33">
        <v>42040</v>
      </c>
      <c r="H38" s="10">
        <f>F38</f>
        <v>28492.800000000003</v>
      </c>
      <c r="I38" s="33">
        <v>42048</v>
      </c>
      <c r="J38" s="10">
        <f>D38</f>
        <v>27825</v>
      </c>
      <c r="K38" s="33">
        <v>42058</v>
      </c>
      <c r="L38" s="22">
        <f t="shared" si="14"/>
        <v>1356.8000000000029</v>
      </c>
      <c r="M38" s="22">
        <f t="shared" si="15"/>
        <v>1325</v>
      </c>
      <c r="N38" s="10">
        <f t="shared" si="16"/>
        <v>31.80000000000291</v>
      </c>
      <c r="O38" s="10">
        <f>E38*3</f>
        <v>636</v>
      </c>
    </row>
    <row r="39" spans="1:15" hidden="1" outlineLevel="1" x14ac:dyDescent="0.25">
      <c r="A39" t="s">
        <v>102</v>
      </c>
      <c r="B39" t="s">
        <v>18</v>
      </c>
      <c r="C39" s="41" t="s">
        <v>117</v>
      </c>
      <c r="D39" s="10">
        <f>232*107*1.05</f>
        <v>26065.200000000001</v>
      </c>
      <c r="E39">
        <v>232</v>
      </c>
      <c r="F39" s="10">
        <f>110*E39*1.05</f>
        <v>26796</v>
      </c>
      <c r="G39" s="33">
        <v>42038</v>
      </c>
      <c r="H39" s="10">
        <f>26796</f>
        <v>26796</v>
      </c>
      <c r="I39" s="33">
        <v>42062</v>
      </c>
      <c r="J39" s="10">
        <f>D39</f>
        <v>26065.200000000001</v>
      </c>
      <c r="K39" s="33">
        <v>42058</v>
      </c>
      <c r="L39" s="22">
        <f t="shared" si="14"/>
        <v>1276</v>
      </c>
      <c r="M39" s="22">
        <f t="shared" si="15"/>
        <v>1241.2000000000007</v>
      </c>
      <c r="N39" s="10">
        <f t="shared" si="16"/>
        <v>34.799999999999272</v>
      </c>
      <c r="O39" s="10">
        <f>E39*3</f>
        <v>696</v>
      </c>
    </row>
    <row r="40" spans="1:15" collapsed="1" x14ac:dyDescent="0.25">
      <c r="A40" s="5" t="s">
        <v>102</v>
      </c>
      <c r="B40" s="5" t="s">
        <v>27</v>
      </c>
      <c r="C40" s="5"/>
      <c r="D40" s="11">
        <f>SUM(D28:D39)</f>
        <v>251971.68500000003</v>
      </c>
      <c r="E40" s="6">
        <f>SUM(E28:E39)</f>
        <v>1917.75</v>
      </c>
      <c r="F40" s="11">
        <f>SUM(F28:F39)</f>
        <v>260832.28500000003</v>
      </c>
      <c r="G40" s="11"/>
      <c r="H40" s="11">
        <f>SUM(H28:H39)</f>
        <v>260832.29000000004</v>
      </c>
      <c r="I40" s="11"/>
      <c r="J40" s="11">
        <f>SUM(J28:J39)</f>
        <v>252511.68500000003</v>
      </c>
      <c r="K40" s="11"/>
      <c r="L40" s="11">
        <f t="shared" ref="K40:O40" si="17">SUM(L28:L39)</f>
        <v>12420.585238095255</v>
      </c>
      <c r="M40" s="11">
        <f t="shared" si="17"/>
        <v>9073.2350000000006</v>
      </c>
      <c r="N40" s="11">
        <f t="shared" si="17"/>
        <v>3347.3502380952541</v>
      </c>
      <c r="O40" s="11">
        <f t="shared" si="17"/>
        <v>5753.25</v>
      </c>
    </row>
    <row r="41" spans="1:15" s="49" customFormat="1" hidden="1" outlineLevel="1" x14ac:dyDescent="0.25">
      <c r="A41" s="49" t="s">
        <v>128</v>
      </c>
      <c r="B41" s="49" t="s">
        <v>30</v>
      </c>
      <c r="C41" s="49" t="s">
        <v>130</v>
      </c>
      <c r="D41" s="22">
        <f>E41*167</f>
        <v>30268.75</v>
      </c>
      <c r="E41" s="16">
        <v>181.25</v>
      </c>
      <c r="F41" s="22">
        <f>E41*169*1.05</f>
        <v>32162.8125</v>
      </c>
      <c r="G41" s="33">
        <v>42072</v>
      </c>
      <c r="H41" s="10">
        <v>32162.81</v>
      </c>
      <c r="I41" s="33">
        <v>42102</v>
      </c>
      <c r="J41" s="22">
        <v>30268.75</v>
      </c>
      <c r="K41" s="33">
        <v>42103</v>
      </c>
      <c r="L41" s="22">
        <f t="shared" ref="L41" si="18">H41-H41/1.05</f>
        <v>1531.5623809523822</v>
      </c>
      <c r="M41" s="22">
        <v>0</v>
      </c>
      <c r="N41" s="10">
        <f t="shared" ref="N41" si="19">L41-M41</f>
        <v>1531.5623809523822</v>
      </c>
      <c r="O41" s="10">
        <f>E41*2</f>
        <v>362.5</v>
      </c>
    </row>
    <row r="42" spans="1:15" s="49" customFormat="1" hidden="1" outlineLevel="1" x14ac:dyDescent="0.25">
      <c r="A42" s="49" t="s">
        <v>128</v>
      </c>
      <c r="B42" s="49" t="s">
        <v>30</v>
      </c>
      <c r="C42" s="49" t="s">
        <v>138</v>
      </c>
      <c r="D42" s="22">
        <v>0</v>
      </c>
      <c r="E42" s="16"/>
      <c r="F42" s="22">
        <v>88365.64</v>
      </c>
      <c r="G42" s="33">
        <v>42073</v>
      </c>
      <c r="H42" s="10">
        <v>88365.64</v>
      </c>
      <c r="I42" s="33">
        <v>42090</v>
      </c>
      <c r="J42" s="10"/>
      <c r="K42" s="10"/>
      <c r="L42" s="22">
        <f t="shared" ref="L42:L52" si="20">H42-H42/1.05</f>
        <v>4207.8876190476294</v>
      </c>
      <c r="M42" s="22">
        <v>0</v>
      </c>
      <c r="N42" s="10">
        <f t="shared" ref="N42:N52" si="21">L42-M42</f>
        <v>4207.8876190476294</v>
      </c>
      <c r="O42" s="10"/>
    </row>
    <row r="43" spans="1:15" s="49" customFormat="1" hidden="1" outlineLevel="1" x14ac:dyDescent="0.25">
      <c r="A43" s="49" t="s">
        <v>128</v>
      </c>
      <c r="B43" s="49" t="s">
        <v>12</v>
      </c>
      <c r="C43" s="49" t="s">
        <v>129</v>
      </c>
      <c r="D43" s="22">
        <f>E43*137</f>
        <v>21988.5</v>
      </c>
      <c r="E43" s="16">
        <v>160.5</v>
      </c>
      <c r="F43" s="22">
        <f>E43*140*1.05</f>
        <v>23593.5</v>
      </c>
      <c r="G43" s="33">
        <v>42065</v>
      </c>
      <c r="H43" s="10">
        <v>23593.5</v>
      </c>
      <c r="I43" s="33">
        <v>42094</v>
      </c>
      <c r="J43" s="10">
        <v>21988.5</v>
      </c>
      <c r="K43" s="33">
        <v>42095</v>
      </c>
      <c r="L43" s="22">
        <f t="shared" si="20"/>
        <v>1123.5</v>
      </c>
      <c r="M43" s="22">
        <f t="shared" ref="M42:M52" si="22">D43-D43/1.05</f>
        <v>1047.0714285714312</v>
      </c>
      <c r="N43" s="10">
        <f t="shared" si="21"/>
        <v>76.42857142856883</v>
      </c>
      <c r="O43" s="10">
        <f>E43*3</f>
        <v>481.5</v>
      </c>
    </row>
    <row r="44" spans="1:15" s="49" customFormat="1" hidden="1" outlineLevel="1" x14ac:dyDescent="0.25">
      <c r="A44" s="49" t="s">
        <v>128</v>
      </c>
      <c r="B44" s="49" t="s">
        <v>0</v>
      </c>
      <c r="C44" s="49" t="s">
        <v>139</v>
      </c>
      <c r="D44" s="22">
        <f>(200*133+3*140)*1.05</f>
        <v>28371</v>
      </c>
      <c r="E44" s="16">
        <v>203</v>
      </c>
      <c r="F44" s="22">
        <v>59394.83</v>
      </c>
      <c r="G44" s="33">
        <v>42073</v>
      </c>
      <c r="H44" s="10">
        <v>59394.83</v>
      </c>
      <c r="I44" s="33">
        <v>42090</v>
      </c>
      <c r="J44" s="10">
        <v>28371</v>
      </c>
      <c r="K44" s="33">
        <v>42093</v>
      </c>
      <c r="L44" s="22">
        <f t="shared" si="20"/>
        <v>2828.3252380952399</v>
      </c>
      <c r="M44" s="22">
        <f t="shared" si="22"/>
        <v>1351</v>
      </c>
      <c r="N44" s="10">
        <f t="shared" si="21"/>
        <v>1477.3252380952399</v>
      </c>
      <c r="O44" s="10">
        <f>200*2+3*3</f>
        <v>409</v>
      </c>
    </row>
    <row r="45" spans="1:15" s="49" customFormat="1" hidden="1" outlineLevel="1" x14ac:dyDescent="0.25">
      <c r="A45" s="49" t="s">
        <v>128</v>
      </c>
      <c r="B45" s="49" t="s">
        <v>14</v>
      </c>
      <c r="D45" s="22">
        <f>(200*124+32.5*130)*1.05</f>
        <v>30476.25</v>
      </c>
      <c r="E45" s="16">
        <v>232.5</v>
      </c>
      <c r="F45" s="22"/>
      <c r="G45" s="33"/>
      <c r="H45" s="10"/>
      <c r="I45" s="33"/>
      <c r="J45" s="10">
        <v>30476.25</v>
      </c>
      <c r="K45" s="33">
        <v>42093</v>
      </c>
      <c r="L45" s="22">
        <f t="shared" si="20"/>
        <v>0</v>
      </c>
      <c r="M45" s="22">
        <f t="shared" si="22"/>
        <v>1451.25</v>
      </c>
      <c r="N45" s="10">
        <f t="shared" si="21"/>
        <v>-1451.25</v>
      </c>
      <c r="O45" s="10">
        <f>(200*2)+32.5*3</f>
        <v>497.5</v>
      </c>
    </row>
    <row r="46" spans="1:15" s="49" customFormat="1" hidden="1" outlineLevel="1" x14ac:dyDescent="0.25">
      <c r="A46" s="49" t="s">
        <v>128</v>
      </c>
      <c r="B46" s="49" t="s">
        <v>21</v>
      </c>
      <c r="C46" s="49" t="s">
        <v>136</v>
      </c>
      <c r="D46" s="22">
        <v>3201.03</v>
      </c>
      <c r="E46" s="16"/>
      <c r="F46" s="22">
        <v>3201.03</v>
      </c>
      <c r="G46" s="33">
        <v>42098</v>
      </c>
      <c r="H46" s="22">
        <v>3201.03</v>
      </c>
      <c r="I46" s="33">
        <v>42109</v>
      </c>
      <c r="J46" s="22">
        <v>3201.03</v>
      </c>
      <c r="K46" s="33">
        <v>42112</v>
      </c>
      <c r="L46" s="22">
        <f t="shared" si="20"/>
        <v>152.43000000000029</v>
      </c>
      <c r="M46" s="22">
        <f t="shared" si="22"/>
        <v>152.43000000000029</v>
      </c>
      <c r="N46" s="10">
        <f t="shared" si="21"/>
        <v>0</v>
      </c>
      <c r="O46" s="10"/>
    </row>
    <row r="47" spans="1:15" s="49" customFormat="1" hidden="1" outlineLevel="1" x14ac:dyDescent="0.25">
      <c r="A47" s="49" t="s">
        <v>128</v>
      </c>
      <c r="B47" s="49" t="s">
        <v>15</v>
      </c>
      <c r="C47" s="49" t="s">
        <v>135</v>
      </c>
      <c r="D47" s="22">
        <f>185*119*1.05</f>
        <v>23115.75</v>
      </c>
      <c r="E47" s="16">
        <v>185</v>
      </c>
      <c r="F47" s="22"/>
      <c r="G47" s="29"/>
      <c r="H47" s="10"/>
      <c r="I47" s="33"/>
      <c r="J47" s="10">
        <v>23115.75</v>
      </c>
      <c r="K47" s="33">
        <v>42093</v>
      </c>
      <c r="L47" s="22">
        <f t="shared" si="20"/>
        <v>0</v>
      </c>
      <c r="M47" s="22">
        <f t="shared" si="22"/>
        <v>1100.75</v>
      </c>
      <c r="N47" s="10">
        <f t="shared" si="21"/>
        <v>-1100.75</v>
      </c>
      <c r="O47" s="10">
        <f>E47*2</f>
        <v>370</v>
      </c>
    </row>
    <row r="48" spans="1:15" s="49" customFormat="1" hidden="1" outlineLevel="1" x14ac:dyDescent="0.25">
      <c r="A48" s="49" t="s">
        <v>128</v>
      </c>
      <c r="B48" s="49" t="s">
        <v>16</v>
      </c>
      <c r="C48" s="49" t="s">
        <v>131</v>
      </c>
      <c r="D48" s="22">
        <f>125*E48*1.05</f>
        <v>19687.5</v>
      </c>
      <c r="E48" s="16">
        <v>150</v>
      </c>
      <c r="F48" s="22"/>
      <c r="G48" s="33"/>
      <c r="H48" s="10"/>
      <c r="I48" s="33"/>
      <c r="J48" s="10">
        <v>19687.5</v>
      </c>
      <c r="K48" s="33">
        <v>42093</v>
      </c>
      <c r="L48" s="22">
        <f t="shared" si="20"/>
        <v>0</v>
      </c>
      <c r="M48" s="22">
        <f t="shared" si="22"/>
        <v>937.5</v>
      </c>
      <c r="N48" s="10">
        <f t="shared" si="21"/>
        <v>-937.5</v>
      </c>
      <c r="O48" s="10">
        <f>E48*2</f>
        <v>300</v>
      </c>
    </row>
    <row r="49" spans="1:15" s="49" customFormat="1" hidden="1" outlineLevel="1" x14ac:dyDescent="0.25">
      <c r="A49" s="49" t="s">
        <v>128</v>
      </c>
      <c r="B49" s="49" t="s">
        <v>20</v>
      </c>
      <c r="C49" s="49" t="s">
        <v>132</v>
      </c>
      <c r="D49" s="22">
        <v>1820.66</v>
      </c>
      <c r="E49" s="16">
        <v>0</v>
      </c>
      <c r="F49" s="22">
        <v>1820.66</v>
      </c>
      <c r="G49" s="51">
        <v>42078</v>
      </c>
      <c r="H49" s="10">
        <v>1820.66</v>
      </c>
      <c r="I49" s="33">
        <v>42096</v>
      </c>
      <c r="J49" s="22">
        <v>1820.66</v>
      </c>
      <c r="K49" s="33">
        <v>42100</v>
      </c>
      <c r="L49" s="22">
        <f t="shared" si="20"/>
        <v>86.69809523809522</v>
      </c>
      <c r="M49" s="22">
        <f t="shared" si="22"/>
        <v>86.69809523809522</v>
      </c>
      <c r="N49" s="10">
        <f t="shared" si="21"/>
        <v>0</v>
      </c>
      <c r="O49" s="10"/>
    </row>
    <row r="50" spans="1:15" s="49" customFormat="1" hidden="1" outlineLevel="1" x14ac:dyDescent="0.25">
      <c r="A50" s="49" t="s">
        <v>128</v>
      </c>
      <c r="B50" s="49" t="s">
        <v>11</v>
      </c>
      <c r="C50" s="49" t="s">
        <v>134</v>
      </c>
      <c r="D50" s="22">
        <f>178*119*1.05</f>
        <v>22241.100000000002</v>
      </c>
      <c r="E50" s="16">
        <v>178</v>
      </c>
      <c r="F50" s="22"/>
      <c r="G50" s="33"/>
      <c r="H50" s="10"/>
      <c r="I50" s="33"/>
      <c r="J50" s="10">
        <v>22241.1</v>
      </c>
      <c r="K50" s="33">
        <v>42093</v>
      </c>
      <c r="L50" s="22">
        <f t="shared" si="20"/>
        <v>0</v>
      </c>
      <c r="M50" s="22">
        <f t="shared" si="22"/>
        <v>1059.1000000000022</v>
      </c>
      <c r="N50" s="10">
        <f t="shared" si="21"/>
        <v>-1059.1000000000022</v>
      </c>
      <c r="O50" s="10">
        <f>E50*2</f>
        <v>356</v>
      </c>
    </row>
    <row r="51" spans="1:15" s="49" customFormat="1" hidden="1" outlineLevel="1" x14ac:dyDescent="0.25">
      <c r="A51" s="16" t="s">
        <v>128</v>
      </c>
      <c r="B51" s="49" t="s">
        <v>19</v>
      </c>
      <c r="C51" s="49" t="s">
        <v>137</v>
      </c>
      <c r="D51" s="22">
        <v>2628.79</v>
      </c>
      <c r="E51" s="16">
        <v>0</v>
      </c>
      <c r="F51" s="22">
        <v>2628.79</v>
      </c>
      <c r="G51" s="33">
        <v>42078</v>
      </c>
      <c r="H51" s="22">
        <v>2628.79</v>
      </c>
      <c r="I51" s="33">
        <v>42137</v>
      </c>
      <c r="J51" s="22">
        <v>2628.79</v>
      </c>
      <c r="K51" s="29">
        <v>42136</v>
      </c>
      <c r="L51" s="22">
        <f t="shared" si="20"/>
        <v>125.18047619047638</v>
      </c>
      <c r="M51" s="22">
        <f t="shared" si="22"/>
        <v>125.18047619047638</v>
      </c>
      <c r="N51" s="10">
        <f t="shared" si="21"/>
        <v>0</v>
      </c>
      <c r="O51" s="10"/>
    </row>
    <row r="52" spans="1:15" s="49" customFormat="1" hidden="1" outlineLevel="1" x14ac:dyDescent="0.25">
      <c r="A52" s="49" t="s">
        <v>128</v>
      </c>
      <c r="B52" s="49" t="s">
        <v>18</v>
      </c>
      <c r="C52" s="49" t="s">
        <v>140</v>
      </c>
      <c r="D52" s="22">
        <f>(200*102+107*27)*1.05</f>
        <v>24453.45</v>
      </c>
      <c r="E52" s="16">
        <v>227</v>
      </c>
      <c r="F52" s="22">
        <v>3118.5</v>
      </c>
      <c r="G52" s="33">
        <v>42073</v>
      </c>
      <c r="H52" s="10">
        <v>3118.5</v>
      </c>
      <c r="I52" s="33">
        <v>42090</v>
      </c>
      <c r="J52" s="10">
        <v>24453.45</v>
      </c>
      <c r="K52" s="33">
        <v>42093</v>
      </c>
      <c r="L52" s="22">
        <f t="shared" si="20"/>
        <v>148.5</v>
      </c>
      <c r="M52" s="22">
        <f t="shared" si="22"/>
        <v>1164.4500000000007</v>
      </c>
      <c r="N52" s="10">
        <f t="shared" si="21"/>
        <v>-1015.9500000000007</v>
      </c>
      <c r="O52" s="10">
        <f>(200*2)+(27*3)</f>
        <v>481</v>
      </c>
    </row>
    <row r="53" spans="1:15" s="49" customFormat="1" collapsed="1" x14ac:dyDescent="0.25">
      <c r="A53" s="5" t="s">
        <v>128</v>
      </c>
      <c r="B53" s="5" t="s">
        <v>27</v>
      </c>
      <c r="C53" s="5"/>
      <c r="D53" s="11">
        <f>SUM(D41:D52)-D41-D43-D49-D51</f>
        <v>151546.08000000002</v>
      </c>
      <c r="E53" s="6">
        <f>SUM(E41:E52)</f>
        <v>1517.25</v>
      </c>
      <c r="F53" s="11">
        <f>SUM(F41:F52)-F43-F49-F51</f>
        <v>186242.81250000003</v>
      </c>
      <c r="G53" s="11"/>
      <c r="H53" s="11">
        <f>SUM(H41:H52)</f>
        <v>214285.76000000004</v>
      </c>
      <c r="I53" s="11"/>
      <c r="J53" s="11">
        <f>SUM(J41:J52)</f>
        <v>208252.78000000003</v>
      </c>
      <c r="K53" s="11"/>
      <c r="L53" s="11">
        <f t="shared" ref="K53:M53" si="23">SUM(L41:L52)</f>
        <v>10204.083809523823</v>
      </c>
      <c r="M53" s="11">
        <f t="shared" si="23"/>
        <v>8475.4300000000057</v>
      </c>
      <c r="N53" s="11">
        <f>SUM(N41:N52)</f>
        <v>1728.6538095238175</v>
      </c>
      <c r="O53" s="11">
        <f>SUM(O41:O52)</f>
        <v>3257.5</v>
      </c>
    </row>
    <row r="54" spans="1:15" hidden="1" outlineLevel="1" x14ac:dyDescent="0.25">
      <c r="A54" t="s">
        <v>133</v>
      </c>
      <c r="B54" s="49" t="s">
        <v>30</v>
      </c>
      <c r="D54" s="22">
        <f>103.5*167*1.05</f>
        <v>18148.725000000002</v>
      </c>
      <c r="E54">
        <v>103.5</v>
      </c>
      <c r="J54" s="22">
        <f>103.5*167</f>
        <v>17284.5</v>
      </c>
      <c r="K54" s="29">
        <v>42136</v>
      </c>
      <c r="L54" s="22">
        <f t="shared" ref="L54" si="24">H54-H54/1.05</f>
        <v>0</v>
      </c>
      <c r="M54" s="22"/>
      <c r="N54" s="10">
        <f t="shared" ref="N54" si="25">L54-M54</f>
        <v>0</v>
      </c>
      <c r="O54" s="10">
        <f>E54*2</f>
        <v>207</v>
      </c>
    </row>
    <row r="55" spans="1:15" s="49" customFormat="1" hidden="1" outlineLevel="1" x14ac:dyDescent="0.25">
      <c r="A55" s="49" t="s">
        <v>133</v>
      </c>
      <c r="B55" s="49" t="s">
        <v>30</v>
      </c>
      <c r="C55" s="49" t="s">
        <v>152</v>
      </c>
      <c r="D55" s="22">
        <f>16.25*175</f>
        <v>2843.75</v>
      </c>
      <c r="E55" s="49">
        <v>16.25</v>
      </c>
      <c r="F55" s="22">
        <f>E55*177*1.05</f>
        <v>3020.0625</v>
      </c>
      <c r="G55" s="33">
        <v>42112</v>
      </c>
      <c r="H55" s="10">
        <v>3020.06</v>
      </c>
      <c r="I55" s="33">
        <v>42123</v>
      </c>
      <c r="J55" s="22">
        <v>2843.75</v>
      </c>
      <c r="K55" s="33">
        <v>42136</v>
      </c>
      <c r="L55" s="22">
        <f>D55/1.05</f>
        <v>2708.333333333333</v>
      </c>
      <c r="M55" s="22"/>
      <c r="N55" s="10">
        <f t="shared" ref="N55:N69" si="26">L55-M55</f>
        <v>2708.333333333333</v>
      </c>
      <c r="O55" s="10">
        <f>E55*2</f>
        <v>32.5</v>
      </c>
    </row>
    <row r="56" spans="1:15" hidden="1" outlineLevel="1" x14ac:dyDescent="0.25">
      <c r="A56" s="49" t="s">
        <v>133</v>
      </c>
      <c r="B56" s="49" t="s">
        <v>12</v>
      </c>
      <c r="D56" s="10">
        <f>137*E56</f>
        <v>21269.25</v>
      </c>
      <c r="E56">
        <v>155.25</v>
      </c>
      <c r="F56" s="10">
        <f>E56*140*1.05</f>
        <v>22821.75</v>
      </c>
      <c r="G56" s="33">
        <v>42096</v>
      </c>
      <c r="H56" s="10">
        <v>22821.75</v>
      </c>
      <c r="I56" s="33">
        <v>42124</v>
      </c>
      <c r="J56" s="10">
        <v>21269.25</v>
      </c>
      <c r="K56" s="33">
        <v>42128</v>
      </c>
      <c r="L56" s="22">
        <f t="shared" ref="L55:L69" si="27">H56-H56/1.05</f>
        <v>1086.75</v>
      </c>
      <c r="M56" s="22"/>
      <c r="N56" s="10">
        <f t="shared" si="26"/>
        <v>1086.75</v>
      </c>
      <c r="O56" s="10">
        <f>3*E56</f>
        <v>465.75</v>
      </c>
    </row>
    <row r="57" spans="1:15" s="49" customFormat="1" hidden="1" outlineLevel="1" x14ac:dyDescent="0.25">
      <c r="A57" s="49" t="s">
        <v>133</v>
      </c>
      <c r="B57" s="49">
        <v>4501364873</v>
      </c>
      <c r="C57" s="41" t="s">
        <v>141</v>
      </c>
      <c r="D57" s="10"/>
      <c r="F57" s="22">
        <f>104729*1.05</f>
        <v>109965.45000000001</v>
      </c>
      <c r="G57" s="33">
        <v>42100</v>
      </c>
      <c r="H57" s="22">
        <v>109965.45</v>
      </c>
      <c r="I57" s="33">
        <v>42136</v>
      </c>
      <c r="J57" s="10"/>
      <c r="K57" s="10"/>
      <c r="L57" s="22">
        <f t="shared" si="27"/>
        <v>5236.4499999999971</v>
      </c>
      <c r="M57" s="22">
        <f t="shared" ref="M55:M69" si="28">D57-D57/1.05</f>
        <v>0</v>
      </c>
      <c r="N57" s="10">
        <f t="shared" si="26"/>
        <v>5236.4499999999971</v>
      </c>
      <c r="O57" s="10">
        <f>E57*2</f>
        <v>0</v>
      </c>
    </row>
    <row r="58" spans="1:15" s="49" customFormat="1" hidden="1" outlineLevel="1" x14ac:dyDescent="0.25">
      <c r="A58" s="49" t="s">
        <v>133</v>
      </c>
      <c r="B58" s="49" t="s">
        <v>0</v>
      </c>
      <c r="D58" s="10">
        <f>133*E58*1.05</f>
        <v>11172</v>
      </c>
      <c r="E58" s="49">
        <v>80</v>
      </c>
      <c r="F58" s="10"/>
      <c r="G58" s="33"/>
      <c r="H58" s="10"/>
      <c r="I58" s="10"/>
      <c r="J58" s="10">
        <v>11172</v>
      </c>
      <c r="K58" s="33">
        <v>42135</v>
      </c>
      <c r="L58" s="22">
        <f t="shared" si="27"/>
        <v>0</v>
      </c>
      <c r="M58" s="22">
        <f t="shared" si="28"/>
        <v>532</v>
      </c>
      <c r="N58" s="10">
        <f t="shared" si="26"/>
        <v>-532</v>
      </c>
      <c r="O58" s="10">
        <f>E58*2</f>
        <v>160</v>
      </c>
    </row>
    <row r="59" spans="1:15" hidden="1" outlineLevel="1" x14ac:dyDescent="0.25">
      <c r="A59" s="49" t="s">
        <v>133</v>
      </c>
      <c r="B59" s="49" t="s">
        <v>146</v>
      </c>
      <c r="C59" s="41" t="s">
        <v>148</v>
      </c>
      <c r="D59" s="22">
        <f>140*E59*1.05</f>
        <v>735</v>
      </c>
      <c r="E59">
        <v>5</v>
      </c>
      <c r="F59" s="22">
        <f>E59*142*1.05</f>
        <v>745.5</v>
      </c>
      <c r="G59" s="33">
        <v>42106</v>
      </c>
      <c r="H59" s="22">
        <v>745.5</v>
      </c>
      <c r="I59" s="33">
        <v>42128</v>
      </c>
      <c r="J59" s="22">
        <v>735</v>
      </c>
      <c r="K59" s="29">
        <v>42136</v>
      </c>
      <c r="L59" s="22">
        <f t="shared" si="27"/>
        <v>35.5</v>
      </c>
      <c r="M59" s="22">
        <f t="shared" si="28"/>
        <v>35</v>
      </c>
      <c r="N59" s="10">
        <f t="shared" si="26"/>
        <v>0.5</v>
      </c>
      <c r="O59" s="10">
        <f>E59*2</f>
        <v>10</v>
      </c>
    </row>
    <row r="60" spans="1:15" hidden="1" outlineLevel="1" x14ac:dyDescent="0.25">
      <c r="A60" s="49" t="s">
        <v>133</v>
      </c>
      <c r="B60" s="49" t="s">
        <v>14</v>
      </c>
      <c r="D60" s="22">
        <f>124*E60*1.05</f>
        <v>20832</v>
      </c>
      <c r="E60">
        <v>160</v>
      </c>
      <c r="G60" t="s">
        <v>122</v>
      </c>
      <c r="J60" s="22">
        <v>20832</v>
      </c>
      <c r="K60" s="29">
        <v>42136</v>
      </c>
      <c r="L60" s="22">
        <f t="shared" si="27"/>
        <v>0</v>
      </c>
      <c r="M60" s="22">
        <f t="shared" si="28"/>
        <v>992</v>
      </c>
      <c r="N60" s="10">
        <f t="shared" si="26"/>
        <v>-992</v>
      </c>
      <c r="O60" s="10">
        <f>E60*2</f>
        <v>320</v>
      </c>
    </row>
    <row r="61" spans="1:15" hidden="1" outlineLevel="1" x14ac:dyDescent="0.25">
      <c r="A61" s="49" t="s">
        <v>133</v>
      </c>
      <c r="B61" s="49" t="s">
        <v>157</v>
      </c>
      <c r="C61" s="41" t="s">
        <v>154</v>
      </c>
      <c r="D61" s="22">
        <f>E61*130*1.05</f>
        <v>8736</v>
      </c>
      <c r="E61">
        <f>224-160</f>
        <v>64</v>
      </c>
      <c r="F61" s="22">
        <f>E61*1.05*132</f>
        <v>8870.4</v>
      </c>
      <c r="G61" s="33">
        <v>42106</v>
      </c>
      <c r="H61" s="22">
        <v>8870.4</v>
      </c>
      <c r="I61" s="33">
        <v>42128</v>
      </c>
      <c r="J61" s="22">
        <v>8736</v>
      </c>
      <c r="K61" s="33">
        <v>42136</v>
      </c>
      <c r="L61" s="22">
        <f t="shared" si="27"/>
        <v>422.39999999999964</v>
      </c>
      <c r="M61" s="22">
        <f t="shared" si="28"/>
        <v>416</v>
      </c>
      <c r="N61" s="10">
        <f t="shared" si="26"/>
        <v>6.3999999999996362</v>
      </c>
      <c r="O61" s="10">
        <f>E61*2</f>
        <v>128</v>
      </c>
    </row>
    <row r="62" spans="1:15" s="49" customFormat="1" hidden="1" outlineLevel="1" x14ac:dyDescent="0.25">
      <c r="A62" s="49" t="s">
        <v>28</v>
      </c>
      <c r="B62" s="49" t="s">
        <v>21</v>
      </c>
      <c r="C62" s="49" t="s">
        <v>153</v>
      </c>
      <c r="D62" s="22">
        <v>1707</v>
      </c>
      <c r="E62" s="49" t="s">
        <v>122</v>
      </c>
      <c r="F62" s="22">
        <v>1707</v>
      </c>
      <c r="G62" s="29">
        <v>42105</v>
      </c>
      <c r="H62" s="22">
        <v>1707</v>
      </c>
      <c r="I62" s="33">
        <v>42118</v>
      </c>
      <c r="J62" s="10">
        <v>1707</v>
      </c>
      <c r="K62" s="33">
        <v>42122</v>
      </c>
      <c r="L62" s="22">
        <f t="shared" si="27"/>
        <v>81.285714285714448</v>
      </c>
      <c r="M62" s="22">
        <f t="shared" si="28"/>
        <v>81.285714285714448</v>
      </c>
      <c r="N62" s="10">
        <f t="shared" si="26"/>
        <v>0</v>
      </c>
      <c r="O62" s="10"/>
    </row>
    <row r="63" spans="1:15" hidden="1" outlineLevel="1" x14ac:dyDescent="0.25">
      <c r="A63" s="49" t="s">
        <v>133</v>
      </c>
      <c r="B63" s="49" t="s">
        <v>15</v>
      </c>
      <c r="C63" s="41" t="s">
        <v>143</v>
      </c>
      <c r="D63" s="22">
        <f>160*119*1.05</f>
        <v>19992</v>
      </c>
      <c r="E63">
        <v>160</v>
      </c>
      <c r="G63" t="s">
        <v>122</v>
      </c>
      <c r="J63" s="22">
        <f>10000</f>
        <v>10000</v>
      </c>
      <c r="K63" s="33">
        <v>42128</v>
      </c>
      <c r="L63" s="22">
        <f t="shared" si="27"/>
        <v>0</v>
      </c>
      <c r="M63" s="22">
        <f t="shared" si="28"/>
        <v>952</v>
      </c>
      <c r="N63" s="10">
        <f t="shared" si="26"/>
        <v>-952</v>
      </c>
      <c r="O63" s="10">
        <f>E63*2</f>
        <v>320</v>
      </c>
    </row>
    <row r="64" spans="1:15" s="49" customFormat="1" hidden="1" outlineLevel="1" x14ac:dyDescent="0.25">
      <c r="A64" s="49" t="s">
        <v>133</v>
      </c>
      <c r="B64" s="49" t="s">
        <v>15</v>
      </c>
      <c r="C64" s="49" t="s">
        <v>143</v>
      </c>
      <c r="D64" s="22"/>
      <c r="F64" s="10"/>
      <c r="H64" s="10"/>
      <c r="I64" s="10"/>
      <c r="J64" s="22">
        <v>9992</v>
      </c>
      <c r="K64" s="29">
        <v>42136</v>
      </c>
      <c r="L64" s="22">
        <f t="shared" si="27"/>
        <v>0</v>
      </c>
      <c r="M64" s="22">
        <f t="shared" si="28"/>
        <v>0</v>
      </c>
      <c r="N64" s="10">
        <f t="shared" si="26"/>
        <v>0</v>
      </c>
      <c r="O64" s="10">
        <f>E64*2</f>
        <v>0</v>
      </c>
    </row>
    <row r="65" spans="1:15" s="49" customFormat="1" hidden="1" outlineLevel="1" x14ac:dyDescent="0.25">
      <c r="A65" s="49" t="s">
        <v>133</v>
      </c>
      <c r="B65" s="49" t="s">
        <v>142</v>
      </c>
      <c r="C65" s="49" t="s">
        <v>149</v>
      </c>
      <c r="D65" s="22">
        <f>E65*125*1.05</f>
        <v>1050</v>
      </c>
      <c r="E65" s="49">
        <v>8</v>
      </c>
      <c r="F65" s="22">
        <f>E65*127*1.05</f>
        <v>1066.8</v>
      </c>
      <c r="G65" s="33">
        <v>42106</v>
      </c>
      <c r="H65" s="22">
        <v>1066.8</v>
      </c>
      <c r="I65" s="33">
        <v>42128</v>
      </c>
      <c r="J65" s="16">
        <v>1050</v>
      </c>
      <c r="K65" s="33">
        <v>42136</v>
      </c>
      <c r="L65" s="22">
        <f t="shared" si="27"/>
        <v>50.800000000000068</v>
      </c>
      <c r="M65" s="22">
        <f t="shared" si="28"/>
        <v>50</v>
      </c>
      <c r="N65" s="10">
        <f t="shared" si="26"/>
        <v>0.80000000000006821</v>
      </c>
      <c r="O65" s="10">
        <f>E65*2</f>
        <v>16</v>
      </c>
    </row>
    <row r="66" spans="1:15" hidden="1" outlineLevel="1" x14ac:dyDescent="0.25">
      <c r="A66" s="49" t="s">
        <v>133</v>
      </c>
      <c r="B66" s="49" t="s">
        <v>16</v>
      </c>
      <c r="D66" s="22">
        <f>E66*125</f>
        <v>10062.5</v>
      </c>
      <c r="E66">
        <v>80.5</v>
      </c>
      <c r="G66" t="s">
        <v>122</v>
      </c>
      <c r="J66" s="22">
        <v>10062.5</v>
      </c>
      <c r="K66" s="29">
        <v>42136</v>
      </c>
      <c r="L66" s="22">
        <f t="shared" si="27"/>
        <v>0</v>
      </c>
      <c r="M66" s="22">
        <f t="shared" si="28"/>
        <v>479.16666666666788</v>
      </c>
      <c r="N66" s="10">
        <f t="shared" si="26"/>
        <v>-479.16666666666788</v>
      </c>
      <c r="O66" s="10">
        <f>E66*2</f>
        <v>161</v>
      </c>
    </row>
    <row r="67" spans="1:15" s="49" customFormat="1" hidden="1" outlineLevel="1" x14ac:dyDescent="0.25">
      <c r="A67" s="49" t="s">
        <v>133</v>
      </c>
      <c r="B67" s="49" t="s">
        <v>18</v>
      </c>
      <c r="C67" s="49" t="s">
        <v>144</v>
      </c>
      <c r="D67" s="22">
        <f>E67*102*1.05</f>
        <v>17136</v>
      </c>
      <c r="E67" s="49">
        <v>160</v>
      </c>
      <c r="F67" s="10"/>
      <c r="G67" s="49" t="s">
        <v>122</v>
      </c>
      <c r="H67" s="10"/>
      <c r="I67" s="10"/>
      <c r="J67" s="22">
        <v>10000</v>
      </c>
      <c r="K67" s="29">
        <v>42128</v>
      </c>
      <c r="L67" s="22">
        <f t="shared" si="27"/>
        <v>0</v>
      </c>
      <c r="M67" s="22">
        <f t="shared" si="28"/>
        <v>816</v>
      </c>
      <c r="N67" s="10">
        <f t="shared" si="26"/>
        <v>-816</v>
      </c>
      <c r="O67" s="10">
        <f>E67*2</f>
        <v>320</v>
      </c>
    </row>
    <row r="68" spans="1:15" s="49" customFormat="1" hidden="1" outlineLevel="1" x14ac:dyDescent="0.25">
      <c r="A68" s="49" t="s">
        <v>133</v>
      </c>
      <c r="B68" s="49" t="s">
        <v>18</v>
      </c>
      <c r="C68" s="49" t="s">
        <v>144</v>
      </c>
      <c r="D68" s="22"/>
      <c r="F68" s="10"/>
      <c r="H68" s="10"/>
      <c r="I68" s="10"/>
      <c r="J68" s="22">
        <v>7136</v>
      </c>
      <c r="K68" s="29">
        <v>42136</v>
      </c>
      <c r="L68" s="22">
        <f t="shared" si="27"/>
        <v>0</v>
      </c>
      <c r="M68" s="22">
        <f t="shared" si="28"/>
        <v>0</v>
      </c>
      <c r="N68" s="10">
        <f t="shared" si="26"/>
        <v>0</v>
      </c>
      <c r="O68" s="10">
        <f>E68*2</f>
        <v>0</v>
      </c>
    </row>
    <row r="69" spans="1:15" hidden="1" outlineLevel="1" x14ac:dyDescent="0.25">
      <c r="A69" s="49" t="s">
        <v>133</v>
      </c>
      <c r="B69" s="49" t="s">
        <v>145</v>
      </c>
      <c r="C69" s="41" t="s">
        <v>150</v>
      </c>
      <c r="D69" s="22">
        <f>E69*107*1.05</f>
        <v>4381.6500000000005</v>
      </c>
      <c r="E69">
        <v>39</v>
      </c>
      <c r="F69" s="22">
        <f>E69*109*1.05</f>
        <v>4463.55</v>
      </c>
      <c r="G69" s="33">
        <v>42106</v>
      </c>
      <c r="H69" s="22">
        <v>4463.55</v>
      </c>
      <c r="I69" s="33">
        <v>42136</v>
      </c>
      <c r="J69" s="22">
        <v>4381.6499999999996</v>
      </c>
      <c r="K69" s="29">
        <v>42136</v>
      </c>
      <c r="L69" s="22">
        <f t="shared" si="27"/>
        <v>212.55000000000018</v>
      </c>
      <c r="M69" s="22">
        <f t="shared" si="28"/>
        <v>208.65000000000055</v>
      </c>
      <c r="N69" s="10">
        <f t="shared" si="26"/>
        <v>3.8999999999996362</v>
      </c>
      <c r="O69" s="10">
        <f>E69*2</f>
        <v>78</v>
      </c>
    </row>
    <row r="70" spans="1:15" collapsed="1" x14ac:dyDescent="0.25">
      <c r="A70" s="5" t="s">
        <v>133</v>
      </c>
      <c r="B70" s="5" t="s">
        <v>27</v>
      </c>
      <c r="C70" s="5"/>
      <c r="D70" s="11">
        <f>SUM(D54:D69)</f>
        <v>138065.875</v>
      </c>
      <c r="E70" s="5">
        <f t="shared" ref="E70:O70" si="29">SUM(E54:E69)</f>
        <v>1031.5</v>
      </c>
      <c r="F70" s="11">
        <f t="shared" si="29"/>
        <v>152660.51249999998</v>
      </c>
      <c r="G70" s="11"/>
      <c r="H70" s="11">
        <f t="shared" si="29"/>
        <v>152660.50999999998</v>
      </c>
      <c r="I70" s="11"/>
      <c r="J70" s="11">
        <f t="shared" si="29"/>
        <v>137201.65</v>
      </c>
      <c r="K70" s="11"/>
      <c r="L70" s="11">
        <f t="shared" si="29"/>
        <v>9834.069047619043</v>
      </c>
      <c r="M70" s="11">
        <f t="shared" si="29"/>
        <v>4562.1023809523831</v>
      </c>
      <c r="N70" s="11">
        <f t="shared" si="29"/>
        <v>5271.9666666666608</v>
      </c>
      <c r="O70" s="11">
        <f t="shared" si="29"/>
        <v>2218.25</v>
      </c>
    </row>
    <row r="71" spans="1:15" hidden="1" outlineLevel="1" x14ac:dyDescent="0.25">
      <c r="A71" s="49" t="s">
        <v>151</v>
      </c>
      <c r="B71" s="49" t="s">
        <v>30</v>
      </c>
      <c r="C71" s="41" t="s">
        <v>155</v>
      </c>
      <c r="D71" s="22">
        <f>E71*156</f>
        <v>5850</v>
      </c>
      <c r="E71">
        <v>37.5</v>
      </c>
      <c r="F71" s="22">
        <f>1300*4.5*1.05</f>
        <v>6142.5</v>
      </c>
      <c r="G71" s="33">
        <v>42115</v>
      </c>
      <c r="H71" s="22">
        <v>6142.5</v>
      </c>
      <c r="I71" s="33">
        <v>42132</v>
      </c>
      <c r="J71" s="22">
        <v>5850</v>
      </c>
      <c r="K71" s="33"/>
      <c r="L71" s="22">
        <f t="shared" ref="L71" si="30">H71-H71/1.05</f>
        <v>292.5</v>
      </c>
      <c r="M71" s="22"/>
      <c r="N71" s="10">
        <f t="shared" ref="N71" si="31">L71-M71</f>
        <v>292.5</v>
      </c>
      <c r="O71" s="10">
        <f>J71-D71</f>
        <v>0</v>
      </c>
    </row>
    <row r="72" spans="1:15" hidden="1" outlineLevel="1" x14ac:dyDescent="0.25">
      <c r="A72" s="49" t="s">
        <v>151</v>
      </c>
      <c r="B72" s="49" t="s">
        <v>12</v>
      </c>
      <c r="C72" s="41" t="s">
        <v>156</v>
      </c>
      <c r="D72" s="10">
        <f>122*162.25</f>
        <v>19794.5</v>
      </c>
      <c r="E72">
        <v>162.25</v>
      </c>
      <c r="F72" s="10">
        <f>E72*125*1.05</f>
        <v>21295.3125</v>
      </c>
      <c r="G72" s="33">
        <v>42128</v>
      </c>
      <c r="L72" s="22">
        <f t="shared" ref="L72" si="32">H72-H72/1.05</f>
        <v>0</v>
      </c>
      <c r="M72" s="22"/>
      <c r="N72" s="10">
        <f t="shared" ref="N72" si="33">L72-M72</f>
        <v>0</v>
      </c>
      <c r="O72" s="10">
        <f>E72*3</f>
        <v>486.75</v>
      </c>
    </row>
    <row r="73" spans="1:15" s="49" customFormat="1" hidden="1" outlineLevel="1" x14ac:dyDescent="0.25">
      <c r="A73" s="49" t="s">
        <v>151</v>
      </c>
      <c r="D73" s="10"/>
      <c r="F73" s="10"/>
      <c r="G73" s="33"/>
      <c r="H73" s="10"/>
      <c r="I73" s="10"/>
      <c r="J73" s="10"/>
      <c r="K73" s="10"/>
      <c r="L73" s="10"/>
      <c r="M73" s="10"/>
      <c r="O73" s="10"/>
    </row>
    <row r="74" spans="1:15" hidden="1" outlineLevel="1" x14ac:dyDescent="0.25">
      <c r="A74" s="49" t="s">
        <v>151</v>
      </c>
    </row>
    <row r="75" spans="1:15" s="49" customFormat="1" collapsed="1" x14ac:dyDescent="0.25">
      <c r="A75" s="5" t="s">
        <v>151</v>
      </c>
      <c r="B75" s="5" t="s">
        <v>27</v>
      </c>
      <c r="C75" s="5"/>
      <c r="D75" s="11">
        <f>SUM(D71:D74)</f>
        <v>25644.5</v>
      </c>
      <c r="E75" s="5">
        <f>SUM(E71:E74)</f>
        <v>199.75</v>
      </c>
      <c r="F75" s="11">
        <f>SUM(F71:F74)</f>
        <v>27437.8125</v>
      </c>
      <c r="G75" s="11"/>
      <c r="H75" s="11">
        <f>SUM(H71:H74)</f>
        <v>6142.5</v>
      </c>
      <c r="I75" s="11"/>
      <c r="J75" s="11">
        <f>SUM(J71:J74)</f>
        <v>5850</v>
      </c>
      <c r="K75" s="11"/>
      <c r="L75" s="11"/>
      <c r="M75" s="11"/>
      <c r="N75" s="11">
        <f>SUM(N71:N74)</f>
        <v>292.5</v>
      </c>
      <c r="O75" s="11">
        <f>SUM(O71:O74)</f>
        <v>486.75</v>
      </c>
    </row>
    <row r="76" spans="1:15" s="49" customFormat="1" hidden="1" outlineLevel="1" x14ac:dyDescent="0.25">
      <c r="A76" s="49" t="s">
        <v>158</v>
      </c>
      <c r="B76" s="49" t="s">
        <v>30</v>
      </c>
      <c r="D76" s="22"/>
      <c r="F76" s="22"/>
      <c r="G76" s="33"/>
      <c r="H76" s="22"/>
      <c r="I76" s="33"/>
      <c r="J76" s="22"/>
      <c r="K76" s="33"/>
      <c r="L76" s="10"/>
      <c r="M76" s="10"/>
      <c r="O76" s="10"/>
    </row>
    <row r="77" spans="1:15" s="49" customFormat="1" hidden="1" outlineLevel="1" x14ac:dyDescent="0.25">
      <c r="A77" s="49" t="s">
        <v>158</v>
      </c>
      <c r="B77" s="49" t="s">
        <v>12</v>
      </c>
      <c r="D77" s="10"/>
      <c r="F77" s="10"/>
      <c r="G77" s="33"/>
      <c r="H77" s="10"/>
      <c r="I77" s="10"/>
      <c r="J77" s="10"/>
      <c r="K77" s="10"/>
      <c r="L77" s="10"/>
      <c r="M77" s="10"/>
      <c r="O77" s="10"/>
    </row>
    <row r="78" spans="1:15" s="49" customFormat="1" hidden="1" outlineLevel="1" x14ac:dyDescent="0.25">
      <c r="A78" s="49" t="s">
        <v>158</v>
      </c>
      <c r="D78" s="10"/>
      <c r="F78" s="10"/>
      <c r="G78" s="33"/>
      <c r="H78" s="10"/>
      <c r="I78" s="10"/>
      <c r="J78" s="10"/>
      <c r="K78" s="10"/>
      <c r="L78" s="10"/>
      <c r="M78" s="10"/>
      <c r="O78" s="10"/>
    </row>
    <row r="79" spans="1:15" s="49" customFormat="1" hidden="1" outlineLevel="1" x14ac:dyDescent="0.25">
      <c r="A79" s="49" t="s">
        <v>158</v>
      </c>
      <c r="D79" s="10"/>
      <c r="F79" s="10"/>
      <c r="H79" s="10"/>
      <c r="I79" s="10"/>
      <c r="J79" s="10"/>
      <c r="K79" s="10"/>
      <c r="L79" s="10"/>
      <c r="M79" s="10"/>
    </row>
    <row r="80" spans="1:15" s="49" customFormat="1" collapsed="1" x14ac:dyDescent="0.25">
      <c r="A80" s="5" t="s">
        <v>158</v>
      </c>
      <c r="B80" s="5" t="s">
        <v>27</v>
      </c>
      <c r="C80" s="5"/>
      <c r="D80" s="11">
        <f>SUM(D76:D79)</f>
        <v>0</v>
      </c>
      <c r="E80" s="5">
        <f>SUM(E76:E79)</f>
        <v>0</v>
      </c>
      <c r="F80" s="11">
        <f>SUM(F76:F79)</f>
        <v>0</v>
      </c>
      <c r="G80" s="11"/>
      <c r="H80" s="11">
        <f>SUM(H76:H79)</f>
        <v>0</v>
      </c>
      <c r="I80" s="11"/>
      <c r="J80" s="11">
        <f>SUM(J76:J79)</f>
        <v>0</v>
      </c>
      <c r="K80" s="11"/>
      <c r="L80" s="11"/>
      <c r="M80" s="11"/>
      <c r="N80" s="11">
        <f>SUM(N76:N79)</f>
        <v>0</v>
      </c>
      <c r="O80" s="11">
        <f>SUM(O76:O79)</f>
        <v>0</v>
      </c>
    </row>
  </sheetData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4" workbookViewId="0">
      <selection activeCell="A19" sqref="A19"/>
    </sheetView>
  </sheetViews>
  <sheetFormatPr defaultRowHeight="15" x14ac:dyDescent="0.25"/>
  <cols>
    <col min="1" max="1" width="1.42578125" customWidth="1"/>
    <col min="2" max="2" width="11.85546875" customWidth="1"/>
    <col min="3" max="3" width="1.28515625" style="15" customWidth="1"/>
    <col min="4" max="4" width="12.28515625" customWidth="1"/>
    <col min="5" max="5" width="12.28515625" style="10" customWidth="1"/>
    <col min="6" max="7" width="2.28515625" style="15" customWidth="1"/>
    <col min="8" max="8" width="12.140625" style="10" customWidth="1"/>
    <col min="9" max="10" width="1.42578125" style="15" customWidth="1"/>
    <col min="11" max="11" width="8.7109375" style="25" customWidth="1"/>
    <col min="12" max="12" width="10.28515625" style="25" bestFit="1" customWidth="1"/>
    <col min="13" max="13" width="10.42578125" style="25" customWidth="1"/>
    <col min="14" max="14" width="12.28515625" style="10" bestFit="1" customWidth="1"/>
    <col min="15" max="15" width="14.28515625" style="10" bestFit="1" customWidth="1"/>
    <col min="16" max="16" width="2.7109375" customWidth="1"/>
    <col min="17" max="17" width="12.28515625" customWidth="1"/>
    <col min="18" max="18" width="12.28515625" bestFit="1" customWidth="1"/>
  </cols>
  <sheetData>
    <row r="1" spans="1:18" ht="105" x14ac:dyDescent="0.25">
      <c r="A1" s="13" t="s">
        <v>34</v>
      </c>
      <c r="B1" s="13" t="s">
        <v>38</v>
      </c>
      <c r="C1" s="14" t="s">
        <v>43</v>
      </c>
      <c r="D1" s="13" t="s">
        <v>52</v>
      </c>
      <c r="E1" s="20" t="s">
        <v>40</v>
      </c>
      <c r="F1" s="14" t="s">
        <v>41</v>
      </c>
      <c r="G1" s="14" t="s">
        <v>46</v>
      </c>
      <c r="H1" s="20" t="s">
        <v>42</v>
      </c>
      <c r="I1" s="14" t="s">
        <v>44</v>
      </c>
      <c r="J1" s="14" t="s">
        <v>45</v>
      </c>
      <c r="K1" s="24" t="s">
        <v>36</v>
      </c>
      <c r="L1" s="24" t="s">
        <v>37</v>
      </c>
      <c r="M1" s="24" t="s">
        <v>69</v>
      </c>
      <c r="N1" s="20" t="s">
        <v>57</v>
      </c>
      <c r="O1" s="20" t="s">
        <v>49</v>
      </c>
      <c r="Q1" s="23" t="s">
        <v>74</v>
      </c>
      <c r="R1" s="23" t="s">
        <v>68</v>
      </c>
    </row>
    <row r="3" spans="1:18" x14ac:dyDescent="0.25">
      <c r="A3" t="s">
        <v>35</v>
      </c>
      <c r="B3" t="s">
        <v>39</v>
      </c>
      <c r="C3" s="15" t="s">
        <v>2</v>
      </c>
      <c r="D3">
        <v>4501307623</v>
      </c>
      <c r="E3" s="10">
        <v>178</v>
      </c>
      <c r="H3" s="10">
        <v>175</v>
      </c>
      <c r="K3" s="25" t="s">
        <v>47</v>
      </c>
      <c r="L3" s="25" t="s">
        <v>48</v>
      </c>
      <c r="M3" s="25">
        <v>42124</v>
      </c>
      <c r="N3" s="10">
        <v>227128</v>
      </c>
      <c r="O3" s="10">
        <v>534712</v>
      </c>
      <c r="Q3" s="10">
        <f>361136+SUM('2015 Fiscal Year'!H15)</f>
        <v>388610.3</v>
      </c>
      <c r="R3" s="10">
        <f t="shared" ref="R3:R10" si="0">O3-Q3</f>
        <v>146101.70000000001</v>
      </c>
    </row>
    <row r="4" spans="1:18" x14ac:dyDescent="0.25">
      <c r="A4" s="18" t="s">
        <v>35</v>
      </c>
      <c r="B4" s="18" t="s">
        <v>50</v>
      </c>
      <c r="C4" s="19" t="s">
        <v>51</v>
      </c>
      <c r="D4" s="18">
        <v>4501364873</v>
      </c>
      <c r="E4" s="21">
        <v>143</v>
      </c>
      <c r="F4" s="19"/>
      <c r="G4" s="19"/>
      <c r="H4" s="21">
        <v>140</v>
      </c>
      <c r="I4" s="19"/>
      <c r="J4" s="19"/>
      <c r="K4" s="26" t="s">
        <v>55</v>
      </c>
      <c r="L4" s="26" t="s">
        <v>56</v>
      </c>
      <c r="M4" s="25">
        <v>42094</v>
      </c>
      <c r="N4" s="21">
        <v>425160</v>
      </c>
      <c r="O4" s="21">
        <v>1141013</v>
      </c>
      <c r="Q4" s="10">
        <f>776574.12+SUM('2015 Fiscal Year'!H17+'2015 Fiscal Year'!H18+'2015 Fiscal Year'!H19+'2015 Fiscal Year'!H20)</f>
        <v>842351.42999999993</v>
      </c>
      <c r="R4" s="10">
        <f t="shared" si="0"/>
        <v>298661.57000000007</v>
      </c>
    </row>
    <row r="5" spans="1:18" x14ac:dyDescent="0.25">
      <c r="A5" s="18" t="s">
        <v>35</v>
      </c>
      <c r="B5" s="18" t="s">
        <v>53</v>
      </c>
      <c r="C5" s="19"/>
      <c r="D5" s="18">
        <v>4501364873</v>
      </c>
      <c r="E5" s="21">
        <v>133</v>
      </c>
      <c r="F5" s="19"/>
      <c r="G5" s="19"/>
      <c r="H5" s="21">
        <v>130</v>
      </c>
      <c r="I5" s="19"/>
      <c r="J5" s="19"/>
      <c r="K5" s="26" t="s">
        <v>55</v>
      </c>
      <c r="L5" s="26" t="s">
        <v>56</v>
      </c>
      <c r="M5" s="25">
        <v>42124</v>
      </c>
      <c r="N5" s="21"/>
      <c r="O5" s="21"/>
      <c r="Q5" s="10"/>
      <c r="R5" s="10">
        <f t="shared" si="0"/>
        <v>0</v>
      </c>
    </row>
    <row r="6" spans="1:18" x14ac:dyDescent="0.25">
      <c r="A6" s="18" t="s">
        <v>35</v>
      </c>
      <c r="B6" s="18" t="s">
        <v>54</v>
      </c>
      <c r="C6" s="19"/>
      <c r="D6" s="18">
        <v>4501364873</v>
      </c>
      <c r="E6" s="21">
        <v>128</v>
      </c>
      <c r="F6" s="19"/>
      <c r="G6" s="19"/>
      <c r="H6" s="21">
        <v>125</v>
      </c>
      <c r="I6" s="19"/>
      <c r="J6" s="19"/>
      <c r="K6" s="26" t="s">
        <v>55</v>
      </c>
      <c r="L6" s="26" t="s">
        <v>56</v>
      </c>
      <c r="M6" s="26">
        <v>42124</v>
      </c>
      <c r="N6" s="21"/>
      <c r="O6" s="21"/>
      <c r="Q6" s="10"/>
      <c r="R6" s="10">
        <f t="shared" si="0"/>
        <v>0</v>
      </c>
    </row>
    <row r="7" spans="1:18" s="16" customFormat="1" x14ac:dyDescent="0.25">
      <c r="A7" s="16" t="s">
        <v>35</v>
      </c>
      <c r="B7" s="16" t="s">
        <v>58</v>
      </c>
      <c r="C7" s="17"/>
      <c r="D7" s="16">
        <v>4501407836</v>
      </c>
      <c r="E7" s="22">
        <v>128</v>
      </c>
      <c r="F7" s="17"/>
      <c r="G7" s="17"/>
      <c r="H7" s="22">
        <v>125</v>
      </c>
      <c r="I7" s="17"/>
      <c r="J7" s="17"/>
      <c r="K7" s="27" t="s">
        <v>59</v>
      </c>
      <c r="L7" s="27" t="s">
        <v>60</v>
      </c>
      <c r="M7" s="25">
        <v>42018</v>
      </c>
      <c r="N7" s="22">
        <v>101000</v>
      </c>
      <c r="O7" s="22">
        <f>N7+89600</f>
        <v>190600</v>
      </c>
      <c r="Q7" s="10">
        <f>170214.55+SUM('2015 Fiscal Year'!H21)</f>
        <v>185132.94999999998</v>
      </c>
      <c r="R7" s="10">
        <f t="shared" si="0"/>
        <v>5467.0500000000175</v>
      </c>
    </row>
    <row r="8" spans="1:18" x14ac:dyDescent="0.25">
      <c r="A8" s="18" t="s">
        <v>35</v>
      </c>
      <c r="B8" s="18" t="s">
        <v>65</v>
      </c>
      <c r="C8" s="19"/>
      <c r="D8" s="18">
        <v>4501395482</v>
      </c>
      <c r="E8" s="21">
        <v>103</v>
      </c>
      <c r="F8" s="19"/>
      <c r="G8" s="19"/>
      <c r="H8" s="21">
        <v>100</v>
      </c>
      <c r="I8" s="19"/>
      <c r="J8" s="19"/>
      <c r="K8" s="28">
        <v>41764</v>
      </c>
      <c r="L8" s="26" t="s">
        <v>66</v>
      </c>
      <c r="M8" s="25">
        <v>42035</v>
      </c>
      <c r="N8" s="21">
        <v>89610</v>
      </c>
      <c r="O8" s="21">
        <f>N8</f>
        <v>89610</v>
      </c>
      <c r="Q8" s="10">
        <f>68907+SUM('2015 Fiscal Year'!H23)</f>
        <v>86211</v>
      </c>
      <c r="R8" s="10">
        <f t="shared" si="0"/>
        <v>3399</v>
      </c>
    </row>
    <row r="9" spans="1:18" x14ac:dyDescent="0.25">
      <c r="A9" s="16" t="s">
        <v>35</v>
      </c>
      <c r="B9" s="16" t="s">
        <v>61</v>
      </c>
      <c r="C9" s="17" t="s">
        <v>62</v>
      </c>
      <c r="D9" s="16">
        <v>4501418171</v>
      </c>
      <c r="E9" s="22">
        <v>128</v>
      </c>
      <c r="F9" s="17"/>
      <c r="G9" s="17"/>
      <c r="H9" s="22">
        <v>125</v>
      </c>
      <c r="I9" s="17"/>
      <c r="J9" s="17"/>
      <c r="K9" s="27" t="s">
        <v>63</v>
      </c>
      <c r="L9" s="27">
        <v>41958</v>
      </c>
      <c r="M9" s="26">
        <f>L9</f>
        <v>41958</v>
      </c>
      <c r="N9" s="22">
        <v>117640</v>
      </c>
      <c r="O9" s="22">
        <f>N9</f>
        <v>117640</v>
      </c>
      <c r="Q9" s="10">
        <f>106319+SUM('2015 Fiscal Year'!H24+'2015 Fiscal Year'!H25)</f>
        <v>126210.2</v>
      </c>
      <c r="R9" s="10">
        <f t="shared" si="0"/>
        <v>-8570.1999999999971</v>
      </c>
    </row>
    <row r="10" spans="1:18" x14ac:dyDescent="0.25">
      <c r="A10" s="18" t="s">
        <v>35</v>
      </c>
      <c r="B10" s="18" t="s">
        <v>64</v>
      </c>
      <c r="C10" s="19"/>
      <c r="D10" s="18">
        <v>4501418159</v>
      </c>
      <c r="E10" s="21">
        <v>110</v>
      </c>
      <c r="F10" s="19"/>
      <c r="G10" s="19"/>
      <c r="H10" s="21">
        <v>107</v>
      </c>
      <c r="I10" s="19"/>
      <c r="J10" s="19"/>
      <c r="K10" s="26" t="s">
        <v>63</v>
      </c>
      <c r="L10" s="27">
        <v>41958</v>
      </c>
      <c r="M10" s="26">
        <f t="shared" ref="M10:M12" si="1">L10</f>
        <v>41958</v>
      </c>
      <c r="N10" s="21">
        <v>96800</v>
      </c>
      <c r="O10" s="21">
        <f>N10</f>
        <v>96800</v>
      </c>
      <c r="Q10" s="10">
        <f>88716+SUM('2015 Fiscal Year'!H26)</f>
        <v>106849.5</v>
      </c>
      <c r="R10" s="10">
        <f t="shared" si="0"/>
        <v>-10049.5</v>
      </c>
    </row>
    <row r="11" spans="1:18" x14ac:dyDescent="0.25">
      <c r="A11" s="16" t="s">
        <v>72</v>
      </c>
      <c r="B11" s="16" t="s">
        <v>73</v>
      </c>
      <c r="C11" s="15" t="s">
        <v>2</v>
      </c>
      <c r="D11">
        <v>49794</v>
      </c>
      <c r="E11" s="10">
        <v>150</v>
      </c>
      <c r="H11" s="10">
        <v>147</v>
      </c>
      <c r="K11" s="25">
        <v>42339</v>
      </c>
      <c r="L11" s="25">
        <v>42155</v>
      </c>
      <c r="M11" s="26">
        <f t="shared" si="1"/>
        <v>42155</v>
      </c>
      <c r="N11" s="22">
        <f>160*6*153*0.25</f>
        <v>36720</v>
      </c>
      <c r="O11" s="22">
        <f>N11</f>
        <v>36720</v>
      </c>
      <c r="Q11" s="10">
        <f>'2015 Fiscal Year'!H3+'2015 Fiscal Year'!H16</f>
        <v>39886.89</v>
      </c>
      <c r="R11" s="10">
        <f>(O11+O12)-(Q11+Q12)</f>
        <v>59906.22</v>
      </c>
    </row>
    <row r="12" spans="1:18" x14ac:dyDescent="0.25">
      <c r="A12" s="16" t="s">
        <v>72</v>
      </c>
      <c r="B12" s="18" t="s">
        <v>73</v>
      </c>
      <c r="C12" s="19" t="s">
        <v>2</v>
      </c>
      <c r="D12" s="18">
        <v>50156</v>
      </c>
      <c r="E12" s="21">
        <v>140</v>
      </c>
      <c r="F12" s="19"/>
      <c r="G12" s="19"/>
      <c r="H12" s="21">
        <v>137</v>
      </c>
      <c r="I12" s="19"/>
      <c r="J12" s="19"/>
      <c r="K12" s="26">
        <v>42009</v>
      </c>
      <c r="L12" s="26">
        <v>42185</v>
      </c>
      <c r="M12" s="26">
        <f t="shared" si="1"/>
        <v>42185</v>
      </c>
      <c r="N12" s="21">
        <f>6*160*143*0.75</f>
        <v>102960</v>
      </c>
      <c r="O12" s="21">
        <f>N12</f>
        <v>102960</v>
      </c>
      <c r="Q12" s="10">
        <f>'2015 Fiscal Year'!H3+'2015 Fiscal Year'!H16</f>
        <v>39886.89</v>
      </c>
      <c r="R12" s="10">
        <f>(O11+O12)-(Q11+Q12)</f>
        <v>59906.22</v>
      </c>
    </row>
  </sheetData>
  <conditionalFormatting sqref="M3:M12">
    <cfRule type="cellIs" dxfId="8" priority="1" stopIfTrue="1" operator="lessThan">
      <formula>TODAY()</formula>
    </cfRule>
    <cfRule type="cellIs" dxfId="7" priority="5" stopIfTrue="1" operator="lessThan">
      <formula>TODAY()+30</formula>
    </cfRule>
    <cfRule type="cellIs" dxfId="6" priority="7" operator="greaterThan">
      <formula>TODAY()</formula>
    </cfRule>
  </conditionalFormatting>
  <conditionalFormatting sqref="R3:R12">
    <cfRule type="cellIs" dxfId="5" priority="2" stopIfTrue="1" operator="lessThan">
      <formula>20000</formula>
    </cfRule>
    <cfRule type="cellIs" dxfId="4" priority="3" stopIfTrue="1" operator="between">
      <formula>30000</formula>
      <formula>20000</formula>
    </cfRule>
    <cfRule type="cellIs" dxfId="3" priority="4" stopIfTrue="1" operator="greaterThanOrEqual">
      <formula>30000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24" sqref="I24"/>
    </sheetView>
  </sheetViews>
  <sheetFormatPr defaultRowHeight="15" outlineLevelRow="1" x14ac:dyDescent="0.25"/>
  <cols>
    <col min="1" max="1" width="8.7109375" customWidth="1"/>
    <col min="2" max="2" width="14.42578125" customWidth="1"/>
    <col min="3" max="4" width="14.140625" customWidth="1"/>
    <col min="5" max="5" width="14" customWidth="1"/>
    <col min="6" max="6" width="9.7109375" bestFit="1" customWidth="1"/>
  </cols>
  <sheetData>
    <row r="1" spans="1:12" ht="45" x14ac:dyDescent="0.25">
      <c r="A1" s="32" t="s">
        <v>75</v>
      </c>
      <c r="B1" s="32" t="s">
        <v>76</v>
      </c>
      <c r="C1" s="32" t="s">
        <v>77</v>
      </c>
      <c r="D1" s="32" t="s">
        <v>78</v>
      </c>
      <c r="E1" s="32" t="s">
        <v>94</v>
      </c>
      <c r="F1" s="32" t="s">
        <v>83</v>
      </c>
    </row>
    <row r="2" spans="1:12" x14ac:dyDescent="0.25">
      <c r="A2" t="s">
        <v>26</v>
      </c>
      <c r="B2" t="s">
        <v>82</v>
      </c>
      <c r="C2" s="31">
        <v>4501418171</v>
      </c>
      <c r="D2" s="30">
        <v>41974</v>
      </c>
      <c r="E2" s="10">
        <v>25267.200000000001</v>
      </c>
      <c r="F2" s="30">
        <v>41988</v>
      </c>
      <c r="G2" s="38" t="s">
        <v>90</v>
      </c>
    </row>
    <row r="3" spans="1:12" x14ac:dyDescent="0.25">
      <c r="A3" t="s">
        <v>26</v>
      </c>
      <c r="B3" t="s">
        <v>81</v>
      </c>
      <c r="C3" s="31">
        <v>4501418171</v>
      </c>
      <c r="D3" s="30">
        <v>41974</v>
      </c>
      <c r="E3" s="10">
        <v>2075.7399999999998</v>
      </c>
      <c r="F3" s="30">
        <v>41988</v>
      </c>
      <c r="G3" s="38" t="s">
        <v>90</v>
      </c>
    </row>
    <row r="4" spans="1:12" x14ac:dyDescent="0.25">
      <c r="A4" t="s">
        <v>26</v>
      </c>
      <c r="B4" t="s">
        <v>85</v>
      </c>
      <c r="C4" s="31">
        <v>4501418159</v>
      </c>
      <c r="D4" s="30">
        <v>41974</v>
      </c>
      <c r="E4" s="10">
        <v>23793</v>
      </c>
      <c r="F4" s="30">
        <v>41988</v>
      </c>
      <c r="G4" s="38" t="s">
        <v>90</v>
      </c>
    </row>
    <row r="5" spans="1:12" x14ac:dyDescent="0.25">
      <c r="A5" t="s">
        <v>26</v>
      </c>
      <c r="B5" t="s">
        <v>84</v>
      </c>
      <c r="C5" s="31">
        <v>4501364873</v>
      </c>
      <c r="D5" s="30">
        <v>41975</v>
      </c>
      <c r="E5" s="10">
        <v>25132.799999999999</v>
      </c>
      <c r="F5" s="30">
        <v>41989</v>
      </c>
      <c r="G5" s="38" t="s">
        <v>90</v>
      </c>
    </row>
    <row r="6" spans="1:12" x14ac:dyDescent="0.25">
      <c r="C6" s="31"/>
      <c r="D6" s="39" t="s">
        <v>89</v>
      </c>
      <c r="E6" s="37">
        <f>SUM(E2:E5)</f>
        <v>76268.740000000005</v>
      </c>
      <c r="F6" s="30"/>
      <c r="G6" s="34"/>
    </row>
    <row r="7" spans="1:12" x14ac:dyDescent="0.25">
      <c r="C7" s="31"/>
      <c r="D7" s="30"/>
      <c r="E7" s="10"/>
      <c r="F7" s="30"/>
      <c r="G7" s="34"/>
    </row>
    <row r="8" spans="1:12" x14ac:dyDescent="0.25">
      <c r="A8" t="s">
        <v>26</v>
      </c>
      <c r="B8" t="s">
        <v>79</v>
      </c>
      <c r="C8">
        <v>4501364873</v>
      </c>
      <c r="D8" s="30">
        <v>41997</v>
      </c>
      <c r="E8" s="10">
        <v>1434.83</v>
      </c>
      <c r="F8" s="30">
        <v>42016</v>
      </c>
      <c r="G8" s="34" t="s">
        <v>87</v>
      </c>
    </row>
    <row r="9" spans="1:12" x14ac:dyDescent="0.25">
      <c r="A9" t="s">
        <v>26</v>
      </c>
      <c r="B9" t="s">
        <v>80</v>
      </c>
      <c r="C9" s="31">
        <v>4501407836</v>
      </c>
      <c r="D9" s="30">
        <v>41997</v>
      </c>
      <c r="E9" s="10">
        <v>2272.08</v>
      </c>
      <c r="F9" s="30">
        <v>42016</v>
      </c>
      <c r="G9" s="34" t="s">
        <v>87</v>
      </c>
    </row>
    <row r="10" spans="1:12" x14ac:dyDescent="0.25">
      <c r="A10" t="s">
        <v>28</v>
      </c>
      <c r="B10" t="s">
        <v>95</v>
      </c>
      <c r="C10">
        <v>4501364873</v>
      </c>
      <c r="D10" s="30">
        <v>41997</v>
      </c>
      <c r="E10" s="10">
        <v>1792.4</v>
      </c>
      <c r="F10" s="30">
        <v>42016</v>
      </c>
      <c r="G10" s="34" t="s">
        <v>87</v>
      </c>
      <c r="H10" s="10"/>
      <c r="I10" s="10"/>
    </row>
    <row r="11" spans="1:12" x14ac:dyDescent="0.25">
      <c r="C11" s="31"/>
      <c r="D11" s="36" t="s">
        <v>88</v>
      </c>
      <c r="E11" s="40">
        <f>SUM(E8:E10)</f>
        <v>5499.3099999999995</v>
      </c>
      <c r="F11" s="30"/>
    </row>
    <row r="13" spans="1:12" x14ac:dyDescent="0.25">
      <c r="A13" t="s">
        <v>28</v>
      </c>
      <c r="B13" t="s">
        <v>86</v>
      </c>
      <c r="C13">
        <v>4501307623</v>
      </c>
      <c r="D13" s="30">
        <v>42009</v>
      </c>
      <c r="E13" s="10">
        <v>27474.3</v>
      </c>
      <c r="F13" s="33">
        <v>42023</v>
      </c>
      <c r="G13" t="s">
        <v>91</v>
      </c>
      <c r="H13" s="10"/>
      <c r="I13" s="10"/>
      <c r="K13" s="10"/>
      <c r="L13" s="3"/>
    </row>
    <row r="14" spans="1:12" x14ac:dyDescent="0.25">
      <c r="A14" t="s">
        <v>28</v>
      </c>
      <c r="B14" t="s">
        <v>92</v>
      </c>
      <c r="C14">
        <v>4501364873</v>
      </c>
      <c r="D14" s="30">
        <v>42009</v>
      </c>
      <c r="E14" s="10">
        <v>17492.48</v>
      </c>
      <c r="F14" s="33">
        <v>42023</v>
      </c>
      <c r="G14" t="s">
        <v>91</v>
      </c>
      <c r="H14" s="10"/>
      <c r="I14" s="10"/>
    </row>
    <row r="15" spans="1:12" x14ac:dyDescent="0.25">
      <c r="A15" t="s">
        <v>28</v>
      </c>
      <c r="B15" t="s">
        <v>93</v>
      </c>
      <c r="C15">
        <v>4501364873</v>
      </c>
      <c r="D15" s="30">
        <v>42009</v>
      </c>
      <c r="E15" s="10">
        <v>22972.43</v>
      </c>
      <c r="F15" s="33">
        <v>42023</v>
      </c>
      <c r="G15" t="s">
        <v>91</v>
      </c>
      <c r="H15" s="10"/>
      <c r="I15" s="10"/>
    </row>
    <row r="16" spans="1:12" x14ac:dyDescent="0.25">
      <c r="A16" t="s">
        <v>28</v>
      </c>
      <c r="B16" t="s">
        <v>97</v>
      </c>
      <c r="C16" s="31">
        <v>4501407836</v>
      </c>
      <c r="D16" s="30">
        <v>42009</v>
      </c>
      <c r="E16" s="10">
        <v>14918.4</v>
      </c>
      <c r="F16" s="33">
        <v>42023</v>
      </c>
      <c r="G16" t="s">
        <v>91</v>
      </c>
      <c r="H16" s="10"/>
      <c r="I16" s="10"/>
    </row>
    <row r="17" spans="1:12" x14ac:dyDescent="0.25">
      <c r="A17" t="s">
        <v>28</v>
      </c>
      <c r="B17" t="s">
        <v>98</v>
      </c>
      <c r="C17" s="31">
        <v>4501395482</v>
      </c>
      <c r="D17" s="30">
        <v>42009</v>
      </c>
      <c r="E17" s="10">
        <v>17304</v>
      </c>
      <c r="F17" s="33">
        <v>42023</v>
      </c>
      <c r="G17" t="s">
        <v>91</v>
      </c>
      <c r="H17" s="10"/>
      <c r="I17" s="10"/>
    </row>
    <row r="18" spans="1:12" x14ac:dyDescent="0.25">
      <c r="A18" t="s">
        <v>28</v>
      </c>
      <c r="B18" t="s">
        <v>99</v>
      </c>
      <c r="C18" s="31">
        <v>4501418171</v>
      </c>
      <c r="D18" s="30">
        <v>42009</v>
      </c>
      <c r="E18" s="10">
        <v>19891.2</v>
      </c>
      <c r="F18" s="33">
        <v>42023</v>
      </c>
      <c r="G18" t="s">
        <v>91</v>
      </c>
      <c r="H18" s="10"/>
      <c r="I18" s="10"/>
    </row>
    <row r="19" spans="1:12" outlineLevel="1" x14ac:dyDescent="0.25">
      <c r="A19" t="s">
        <v>28</v>
      </c>
      <c r="B19" t="s">
        <v>100</v>
      </c>
      <c r="C19" s="31">
        <v>4501418159</v>
      </c>
      <c r="D19" s="30">
        <v>42009</v>
      </c>
      <c r="E19" s="10">
        <v>18133.5</v>
      </c>
      <c r="F19" s="33">
        <v>42023</v>
      </c>
      <c r="G19" t="s">
        <v>91</v>
      </c>
      <c r="H19" s="10"/>
      <c r="I19" s="10"/>
      <c r="L19" s="3"/>
    </row>
    <row r="20" spans="1:12" outlineLevel="1" x14ac:dyDescent="0.25">
      <c r="C20" s="31"/>
      <c r="D20" s="35" t="s">
        <v>101</v>
      </c>
      <c r="E20" s="10">
        <f>SUM(E13:E19)</f>
        <v>138186.31</v>
      </c>
      <c r="F20" s="33"/>
      <c r="H20" s="10"/>
      <c r="I20" s="10"/>
      <c r="L20" s="3"/>
    </row>
    <row r="21" spans="1:12" outlineLevel="1" x14ac:dyDescent="0.25">
      <c r="C21" s="31"/>
      <c r="D21" s="30"/>
      <c r="E21" s="10"/>
      <c r="F21" s="33"/>
      <c r="H21" s="10"/>
      <c r="I21" s="10"/>
      <c r="L21" s="3"/>
    </row>
    <row r="22" spans="1:12" x14ac:dyDescent="0.25">
      <c r="A22" t="s">
        <v>28</v>
      </c>
      <c r="B22" t="s">
        <v>96</v>
      </c>
      <c r="C22" s="31">
        <v>4501364873</v>
      </c>
      <c r="D22" s="30">
        <v>42015</v>
      </c>
      <c r="E22" s="22">
        <v>23520</v>
      </c>
      <c r="F22" s="29">
        <v>42027</v>
      </c>
      <c r="G22" t="s">
        <v>91</v>
      </c>
      <c r="H22" s="10"/>
      <c r="I22" s="10"/>
    </row>
    <row r="23" spans="1:12" ht="13.5" customHeight="1" x14ac:dyDescent="0.25"/>
    <row r="25" spans="1:12" x14ac:dyDescent="0.25">
      <c r="E25" s="10">
        <f>SUM(E6+E11+E20)</f>
        <v>219954.36</v>
      </c>
    </row>
  </sheetData>
  <sortState ref="A2:I10">
    <sortCondition ref="D2:D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10" workbookViewId="0">
      <selection activeCell="A2" sqref="A2"/>
    </sheetView>
  </sheetViews>
  <sheetFormatPr defaultRowHeight="15" x14ac:dyDescent="0.25"/>
  <cols>
    <col min="12" max="12" width="10.28515625" customWidth="1"/>
  </cols>
  <sheetData>
    <row r="1" spans="1:18" ht="105" x14ac:dyDescent="0.25">
      <c r="A1" s="13" t="s">
        <v>34</v>
      </c>
      <c r="B1" s="13" t="s">
        <v>38</v>
      </c>
      <c r="C1" s="14" t="s">
        <v>43</v>
      </c>
      <c r="D1" s="13" t="s">
        <v>52</v>
      </c>
      <c r="E1" s="20" t="s">
        <v>40</v>
      </c>
      <c r="F1" s="14" t="s">
        <v>41</v>
      </c>
      <c r="G1" s="14" t="s">
        <v>46</v>
      </c>
      <c r="H1" s="20" t="s">
        <v>42</v>
      </c>
      <c r="I1" s="14" t="s">
        <v>44</v>
      </c>
      <c r="J1" s="14" t="s">
        <v>45</v>
      </c>
      <c r="K1" s="24" t="s">
        <v>36</v>
      </c>
      <c r="L1" s="24" t="s">
        <v>37</v>
      </c>
      <c r="M1" s="24" t="s">
        <v>69</v>
      </c>
      <c r="N1" s="20" t="s">
        <v>57</v>
      </c>
      <c r="O1" s="20" t="s">
        <v>49</v>
      </c>
      <c r="Q1" s="23" t="s">
        <v>67</v>
      </c>
      <c r="R1" s="23" t="s">
        <v>68</v>
      </c>
    </row>
    <row r="2" spans="1:18" x14ac:dyDescent="0.25">
      <c r="A2" s="16" t="s">
        <v>72</v>
      </c>
      <c r="B2" s="16" t="s">
        <v>73</v>
      </c>
      <c r="C2" s="15" t="s">
        <v>2</v>
      </c>
      <c r="D2" s="16">
        <v>49387</v>
      </c>
      <c r="E2" s="10">
        <v>150</v>
      </c>
      <c r="F2" s="15"/>
      <c r="G2" s="15"/>
      <c r="H2" s="10">
        <v>147</v>
      </c>
      <c r="I2" s="15"/>
      <c r="J2" s="15"/>
      <c r="K2" s="25">
        <v>41944</v>
      </c>
      <c r="L2" s="25">
        <v>41973</v>
      </c>
      <c r="M2" s="25"/>
      <c r="N2" s="10"/>
      <c r="O2" s="21">
        <f>N2</f>
        <v>0</v>
      </c>
      <c r="Q2" s="10"/>
      <c r="R2" s="10">
        <f>O2-Q2</f>
        <v>0</v>
      </c>
    </row>
    <row r="3" spans="1:18" x14ac:dyDescent="0.25">
      <c r="A3" s="16" t="s">
        <v>72</v>
      </c>
      <c r="B3" s="16" t="s">
        <v>73</v>
      </c>
      <c r="C3" s="15" t="s">
        <v>2</v>
      </c>
      <c r="D3" s="16">
        <v>49386</v>
      </c>
      <c r="E3" s="10">
        <v>150</v>
      </c>
      <c r="F3" s="15"/>
      <c r="G3" s="15"/>
      <c r="H3" s="10">
        <v>147</v>
      </c>
      <c r="I3" s="15"/>
      <c r="J3" s="15"/>
      <c r="K3" s="25">
        <v>41944</v>
      </c>
      <c r="L3" s="25">
        <v>41988</v>
      </c>
      <c r="M3" s="25"/>
      <c r="N3" s="10"/>
      <c r="O3" s="21">
        <f>N3</f>
        <v>0</v>
      </c>
      <c r="Q3" s="10"/>
      <c r="R3" s="10">
        <f>O3-Q3</f>
        <v>0</v>
      </c>
    </row>
  </sheetData>
  <conditionalFormatting sqref="R2:R3">
    <cfRule type="cellIs" dxfId="2" priority="1" stopIfTrue="1" operator="lessThan">
      <formula>20000</formula>
    </cfRule>
    <cfRule type="cellIs" dxfId="1" priority="2" stopIfTrue="1" operator="between">
      <formula>30000</formula>
      <formula>20000</formula>
    </cfRule>
    <cfRule type="cellIs" dxfId="0" priority="3" stopIfTrue="1" operator="greaterThanOrEqual">
      <formula>30000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tabSelected="1" workbookViewId="0">
      <selection activeCell="B20" sqref="B20"/>
    </sheetView>
  </sheetViews>
  <sheetFormatPr defaultRowHeight="15" x14ac:dyDescent="0.25"/>
  <sheetData>
    <row r="1" spans="2:2" x14ac:dyDescent="0.25">
      <c r="B1" t="s">
        <v>1</v>
      </c>
    </row>
    <row r="2" spans="2:2" x14ac:dyDescent="0.25">
      <c r="B2" s="1" t="s">
        <v>2</v>
      </c>
    </row>
    <row r="3" spans="2:2" x14ac:dyDescent="0.25">
      <c r="B3" t="s">
        <v>3</v>
      </c>
    </row>
    <row r="12" spans="2:2" ht="15.75" x14ac:dyDescent="0.25">
      <c r="B12" s="2" t="s">
        <v>22</v>
      </c>
    </row>
    <row r="13" spans="2:2" x14ac:dyDescent="0.25">
      <c r="B13" s="3" t="s">
        <v>23</v>
      </c>
    </row>
    <row r="14" spans="2:2" x14ac:dyDescent="0.25">
      <c r="B14" s="4"/>
    </row>
    <row r="15" spans="2:2" x14ac:dyDescent="0.25">
      <c r="B15" s="4" t="s">
        <v>2</v>
      </c>
    </row>
    <row r="16" spans="2:2" x14ac:dyDescent="0.25">
      <c r="B16" s="3" t="s">
        <v>24</v>
      </c>
    </row>
    <row r="19" spans="2:2" x14ac:dyDescent="0.25">
      <c r="B19" t="s">
        <v>70</v>
      </c>
    </row>
    <row r="20" spans="2:2" x14ac:dyDescent="0.25">
      <c r="B20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2015 Fiscal Year</vt:lpstr>
      <vt:lpstr>Contract Summary - Active</vt:lpstr>
      <vt:lpstr>For Letter to buyers Jan 20</vt:lpstr>
      <vt:lpstr>Contract Summary - Old</vt:lpstr>
      <vt:lpstr>for invoices</vt:lpstr>
      <vt:lpstr>'2015 Fiscal Year'!Print_Area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2015-04-05T21:09:09Z</cp:lastPrinted>
  <dcterms:created xsi:type="dcterms:W3CDTF">2014-12-02T03:18:03Z</dcterms:created>
  <dcterms:modified xsi:type="dcterms:W3CDTF">2015-05-14T03:47:11Z</dcterms:modified>
</cp:coreProperties>
</file>