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"/>
    </mc:Choice>
  </mc:AlternateContent>
  <bookViews>
    <workbookView xWindow="0" yWindow="0" windowWidth="12600" windowHeight="8328"/>
  </bookViews>
  <sheets>
    <sheet name="2015 Fiscal Year" sheetId="1" r:id="rId1"/>
    <sheet name="Contract Summary - Active" sheetId="3" r:id="rId2"/>
    <sheet name="For Letter to buyers Jan 20" sheetId="5" r:id="rId3"/>
    <sheet name="Contract Summary - Old" sheetId="4" r:id="rId4"/>
    <sheet name="for invoices" sheetId="2" r:id="rId5"/>
  </sheets>
  <definedNames>
    <definedName name="_xlnm.Print_Area" localSheetId="0">'2015 Fiscal Year'!$A$2:$T$84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O91" i="1"/>
  <c r="M91" i="1"/>
  <c r="O94" i="1"/>
  <c r="M94" i="1"/>
  <c r="M92" i="1"/>
  <c r="O89" i="1"/>
  <c r="M89" i="1"/>
  <c r="D97" i="1"/>
  <c r="D94" i="1"/>
  <c r="T97" i="1"/>
  <c r="T99" i="1"/>
  <c r="I97" i="1"/>
  <c r="J97" i="1"/>
  <c r="Q97" i="1"/>
  <c r="S97" i="1"/>
  <c r="S99" i="1"/>
  <c r="R99" i="1"/>
  <c r="Q99" i="1"/>
  <c r="O93" i="1"/>
  <c r="O96" i="1"/>
  <c r="O99" i="1"/>
  <c r="M93" i="1"/>
  <c r="M96" i="1"/>
  <c r="M99" i="1"/>
  <c r="K97" i="1"/>
  <c r="K99" i="1"/>
  <c r="J99" i="1"/>
  <c r="I99" i="1"/>
  <c r="G99" i="1"/>
  <c r="F97" i="1"/>
  <c r="F96" i="1"/>
  <c r="F99" i="1"/>
  <c r="E99" i="1"/>
  <c r="D96" i="1"/>
  <c r="D99" i="1"/>
  <c r="J98" i="1"/>
  <c r="K98" i="1"/>
  <c r="J95" i="1"/>
  <c r="K95" i="1"/>
  <c r="K91" i="1"/>
  <c r="J91" i="1"/>
  <c r="I91" i="1"/>
  <c r="F91" i="1"/>
  <c r="D91" i="1"/>
  <c r="T94" i="1"/>
  <c r="T96" i="1"/>
  <c r="I94" i="1"/>
  <c r="J94" i="1"/>
  <c r="Q94" i="1"/>
  <c r="S94" i="1"/>
  <c r="S96" i="1"/>
  <c r="R96" i="1"/>
  <c r="Q96" i="1"/>
  <c r="K94" i="1"/>
  <c r="K93" i="1"/>
  <c r="K96" i="1"/>
  <c r="J93" i="1"/>
  <c r="J96" i="1"/>
  <c r="I93" i="1"/>
  <c r="I96" i="1"/>
  <c r="G93" i="1"/>
  <c r="G96" i="1"/>
  <c r="F93" i="1"/>
  <c r="E96" i="1"/>
  <c r="D93" i="1"/>
  <c r="I92" i="1"/>
  <c r="T92" i="1"/>
  <c r="T93" i="1"/>
  <c r="J92" i="1"/>
  <c r="Q92" i="1"/>
  <c r="S92" i="1"/>
  <c r="S93" i="1"/>
  <c r="R93" i="1"/>
  <c r="Q93" i="1"/>
  <c r="K92" i="1"/>
  <c r="F92" i="1"/>
  <c r="E93" i="1"/>
  <c r="O90" i="1"/>
  <c r="M90" i="1"/>
  <c r="J90" i="1"/>
  <c r="I90" i="1"/>
  <c r="K78" i="1"/>
  <c r="K79" i="1"/>
  <c r="I80" i="1"/>
  <c r="J80" i="1"/>
  <c r="K80" i="1"/>
  <c r="J81" i="1"/>
  <c r="K81" i="1"/>
  <c r="J82" i="1"/>
  <c r="K82" i="1"/>
  <c r="J83" i="1"/>
  <c r="K83" i="1"/>
  <c r="K84" i="1"/>
  <c r="K87" i="1"/>
  <c r="K90" i="1"/>
  <c r="E90" i="1"/>
  <c r="F90" i="1"/>
  <c r="D90" i="1"/>
  <c r="D89" i="1"/>
  <c r="T87" i="1"/>
  <c r="D78" i="1"/>
  <c r="T78" i="1"/>
  <c r="T79" i="1"/>
  <c r="D80" i="1"/>
  <c r="T80" i="1"/>
  <c r="D81" i="1"/>
  <c r="T81" i="1"/>
  <c r="D82" i="1"/>
  <c r="T82" i="1"/>
  <c r="T84" i="1"/>
  <c r="T90" i="1"/>
  <c r="T89" i="1"/>
  <c r="I89" i="1"/>
  <c r="J89" i="1"/>
  <c r="Q89" i="1"/>
  <c r="S89" i="1"/>
  <c r="Q78" i="1"/>
  <c r="R78" i="1"/>
  <c r="S78" i="1"/>
  <c r="Q79" i="1"/>
  <c r="R79" i="1"/>
  <c r="S79" i="1"/>
  <c r="Q80" i="1"/>
  <c r="R80" i="1"/>
  <c r="S80" i="1"/>
  <c r="Q81" i="1"/>
  <c r="E81" i="1"/>
  <c r="R81" i="1"/>
  <c r="S81" i="1"/>
  <c r="Q82" i="1"/>
  <c r="E82" i="1"/>
  <c r="R82" i="1"/>
  <c r="S82" i="1"/>
  <c r="Q83" i="1"/>
  <c r="R83" i="1"/>
  <c r="S83" i="1"/>
  <c r="S84" i="1"/>
  <c r="S87" i="1"/>
  <c r="S90" i="1"/>
  <c r="R84" i="1"/>
  <c r="R87" i="1"/>
  <c r="R90" i="1"/>
  <c r="Q84" i="1"/>
  <c r="Q87" i="1"/>
  <c r="Q90" i="1"/>
  <c r="O84" i="1"/>
  <c r="O87" i="1"/>
  <c r="M84" i="1"/>
  <c r="M87" i="1"/>
  <c r="K89" i="1"/>
  <c r="J84" i="1"/>
  <c r="J87" i="1"/>
  <c r="I84" i="1"/>
  <c r="I87" i="1"/>
  <c r="G84" i="1"/>
  <c r="G87" i="1"/>
  <c r="F89" i="1"/>
  <c r="F81" i="1"/>
  <c r="F82" i="1"/>
  <c r="F78" i="1"/>
  <c r="F79" i="1"/>
  <c r="F80" i="1"/>
  <c r="F84" i="1"/>
  <c r="F87" i="1"/>
  <c r="E84" i="1"/>
  <c r="E87" i="1"/>
  <c r="D84" i="1"/>
  <c r="D87" i="1"/>
  <c r="O78" i="1"/>
  <c r="T86" i="1"/>
  <c r="S86" i="1"/>
  <c r="Q86" i="1"/>
  <c r="K86" i="1"/>
  <c r="J86" i="1"/>
  <c r="I86" i="1"/>
  <c r="F86" i="1"/>
  <c r="T83" i="1"/>
  <c r="I83" i="1"/>
  <c r="O81" i="1"/>
  <c r="G81" i="1"/>
  <c r="I74" i="1"/>
  <c r="D74" i="1"/>
  <c r="T74" i="1"/>
  <c r="I73" i="1"/>
  <c r="D73" i="1"/>
  <c r="T73" i="1"/>
  <c r="J74" i="1"/>
  <c r="Q74" i="1"/>
  <c r="R74" i="1"/>
  <c r="J73" i="1"/>
  <c r="Q73" i="1"/>
  <c r="R73" i="1"/>
  <c r="E75" i="1"/>
  <c r="E77" i="1"/>
  <c r="F74" i="1"/>
  <c r="F75" i="1"/>
  <c r="F73" i="1"/>
  <c r="F77" i="1"/>
  <c r="J75" i="1"/>
  <c r="J77" i="1"/>
  <c r="K74" i="1"/>
  <c r="K75" i="1"/>
  <c r="K73" i="1"/>
  <c r="K77" i="1"/>
  <c r="I58" i="1"/>
  <c r="T58" i="1"/>
  <c r="I63" i="1"/>
  <c r="D63" i="1"/>
  <c r="T63" i="1"/>
  <c r="D64" i="1"/>
  <c r="T64" i="1"/>
  <c r="T65" i="1"/>
  <c r="T68" i="1"/>
  <c r="D55" i="1"/>
  <c r="T55" i="1"/>
  <c r="R56" i="1"/>
  <c r="R57" i="1"/>
  <c r="G62" i="1"/>
  <c r="D62" i="1"/>
  <c r="E62" i="1"/>
  <c r="R62" i="1"/>
  <c r="R55" i="1"/>
  <c r="I71" i="1"/>
  <c r="I66" i="1"/>
  <c r="D71" i="1"/>
  <c r="D69" i="1"/>
  <c r="D67" i="1"/>
  <c r="T67" i="1"/>
  <c r="D66" i="1"/>
  <c r="E66" i="1"/>
  <c r="D61" i="1"/>
  <c r="D60" i="1"/>
  <c r="D59" i="1"/>
  <c r="E59" i="1"/>
  <c r="R59" i="1"/>
  <c r="E60" i="1"/>
  <c r="R60" i="1"/>
  <c r="E61" i="1"/>
  <c r="R61" i="1"/>
  <c r="E63" i="1"/>
  <c r="R63" i="1"/>
  <c r="E64" i="1"/>
  <c r="R64" i="1"/>
  <c r="E65" i="1"/>
  <c r="R65" i="1"/>
  <c r="E67" i="1"/>
  <c r="R67" i="1"/>
  <c r="E68" i="1"/>
  <c r="F68" i="1"/>
  <c r="E70" i="1"/>
  <c r="R70" i="1"/>
  <c r="E71" i="1"/>
  <c r="R71" i="1"/>
  <c r="I62" i="1"/>
  <c r="T62" i="1"/>
  <c r="I60" i="1"/>
  <c r="T60" i="1"/>
  <c r="I57" i="1"/>
  <c r="I56" i="1"/>
  <c r="D56" i="1"/>
  <c r="T56" i="1"/>
  <c r="J57" i="1"/>
  <c r="Q57" i="1"/>
  <c r="S57" i="1"/>
  <c r="J58" i="1"/>
  <c r="Q58" i="1"/>
  <c r="J59" i="1"/>
  <c r="Q59" i="1"/>
  <c r="S59" i="1"/>
  <c r="J61" i="1"/>
  <c r="Q61" i="1"/>
  <c r="J62" i="1"/>
  <c r="Q62" i="1"/>
  <c r="S62" i="1"/>
  <c r="J63" i="1"/>
  <c r="Q63" i="1"/>
  <c r="J64" i="1"/>
  <c r="Q64" i="1"/>
  <c r="J65" i="1"/>
  <c r="Q65" i="1"/>
  <c r="J67" i="1"/>
  <c r="Q67" i="1"/>
  <c r="J68" i="1"/>
  <c r="Q68" i="1"/>
  <c r="J69" i="1"/>
  <c r="Q69" i="1"/>
  <c r="J71" i="1"/>
  <c r="Q71" i="1"/>
  <c r="S71" i="1"/>
  <c r="J55" i="1"/>
  <c r="Q55" i="1"/>
  <c r="F56" i="1"/>
  <c r="F60" i="1"/>
  <c r="F62" i="1"/>
  <c r="F64" i="1"/>
  <c r="F70" i="1"/>
  <c r="F55" i="1"/>
  <c r="E58" i="1"/>
  <c r="I42" i="1"/>
  <c r="T42" i="1"/>
  <c r="I44" i="1"/>
  <c r="D44" i="1"/>
  <c r="T44" i="1"/>
  <c r="D45" i="1"/>
  <c r="T45" i="1"/>
  <c r="I46" i="1"/>
  <c r="D46" i="1"/>
  <c r="T46" i="1"/>
  <c r="D47" i="1"/>
  <c r="T47" i="1"/>
  <c r="I49" i="1"/>
  <c r="D49" i="1"/>
  <c r="T49" i="1"/>
  <c r="D50" i="1"/>
  <c r="T50" i="1"/>
  <c r="I51" i="1"/>
  <c r="D51" i="1"/>
  <c r="T51" i="1"/>
  <c r="D52" i="1"/>
  <c r="T52" i="1"/>
  <c r="T53" i="1"/>
  <c r="Q52" i="1"/>
  <c r="S64" i="1"/>
  <c r="F59" i="1"/>
  <c r="F61" i="1"/>
  <c r="T66" i="1"/>
  <c r="R68" i="1"/>
  <c r="R58" i="1"/>
  <c r="F58" i="1"/>
  <c r="S68" i="1"/>
  <c r="S65" i="1"/>
  <c r="S63" i="1"/>
  <c r="S61" i="1"/>
  <c r="S58" i="1"/>
  <c r="E69" i="1"/>
  <c r="R69" i="1"/>
  <c r="T71" i="1"/>
  <c r="S69" i="1"/>
  <c r="S67" i="1"/>
  <c r="R66" i="1"/>
  <c r="F66" i="1"/>
  <c r="K55" i="1"/>
  <c r="K69" i="1"/>
  <c r="K67" i="1"/>
  <c r="K65" i="1"/>
  <c r="K63" i="1"/>
  <c r="K61" i="1"/>
  <c r="K59" i="1"/>
  <c r="K57" i="1"/>
  <c r="T69" i="1"/>
  <c r="T61" i="1"/>
  <c r="T59" i="1"/>
  <c r="F71" i="1"/>
  <c r="F67" i="1"/>
  <c r="F65" i="1"/>
  <c r="F63" i="1"/>
  <c r="J66" i="1"/>
  <c r="Q66" i="1"/>
  <c r="J60" i="1"/>
  <c r="Q60" i="1"/>
  <c r="S60" i="1"/>
  <c r="J56" i="1"/>
  <c r="Q56" i="1"/>
  <c r="S56" i="1"/>
  <c r="K71" i="1"/>
  <c r="K68" i="1"/>
  <c r="K64" i="1"/>
  <c r="K62" i="1"/>
  <c r="K58" i="1"/>
  <c r="E52" i="1"/>
  <c r="R52" i="1"/>
  <c r="S52" i="1"/>
  <c r="R43" i="1"/>
  <c r="R41" i="1"/>
  <c r="I43" i="1"/>
  <c r="J42" i="1"/>
  <c r="K42" i="1"/>
  <c r="J43" i="1"/>
  <c r="K43" i="1"/>
  <c r="J44" i="1"/>
  <c r="K44" i="1"/>
  <c r="J45" i="1"/>
  <c r="Q45" i="1"/>
  <c r="J46" i="1"/>
  <c r="K46" i="1"/>
  <c r="J47" i="1"/>
  <c r="Q47" i="1"/>
  <c r="K47" i="1"/>
  <c r="J48" i="1"/>
  <c r="Q48" i="1"/>
  <c r="K48" i="1"/>
  <c r="J49" i="1"/>
  <c r="K49" i="1"/>
  <c r="J50" i="1"/>
  <c r="K50" i="1"/>
  <c r="J51" i="1"/>
  <c r="K51" i="1"/>
  <c r="J53" i="1"/>
  <c r="K53" i="1"/>
  <c r="I41" i="1"/>
  <c r="J41" i="1"/>
  <c r="K41" i="1"/>
  <c r="D48" i="1"/>
  <c r="T48" i="1"/>
  <c r="E42" i="1"/>
  <c r="R42" i="1"/>
  <c r="E44" i="1"/>
  <c r="R44" i="1"/>
  <c r="E45" i="1"/>
  <c r="F45" i="1"/>
  <c r="E46" i="1"/>
  <c r="R46" i="1"/>
  <c r="E47" i="1"/>
  <c r="R47" i="1"/>
  <c r="E48" i="1"/>
  <c r="R48" i="1"/>
  <c r="E49" i="1"/>
  <c r="R49" i="1"/>
  <c r="E50" i="1"/>
  <c r="R50" i="1"/>
  <c r="E51" i="1"/>
  <c r="R51" i="1"/>
  <c r="E53" i="1"/>
  <c r="R53" i="1"/>
  <c r="I39" i="1"/>
  <c r="I38" i="1"/>
  <c r="I37" i="1"/>
  <c r="I36" i="1"/>
  <c r="I34" i="1"/>
  <c r="D34" i="1"/>
  <c r="T34" i="1"/>
  <c r="I33" i="1"/>
  <c r="D39" i="1"/>
  <c r="D38" i="1"/>
  <c r="D37" i="1"/>
  <c r="D36" i="1"/>
  <c r="I29" i="1"/>
  <c r="T29" i="1"/>
  <c r="I32" i="1"/>
  <c r="D32" i="1"/>
  <c r="T32" i="1"/>
  <c r="I35" i="1"/>
  <c r="D35" i="1"/>
  <c r="T35" i="1"/>
  <c r="T36" i="1"/>
  <c r="T37" i="1"/>
  <c r="T38" i="1"/>
  <c r="T39" i="1"/>
  <c r="R29" i="1"/>
  <c r="R28" i="1"/>
  <c r="D31" i="1"/>
  <c r="D30" i="1"/>
  <c r="D22" i="1"/>
  <c r="D21" i="1"/>
  <c r="R17" i="1"/>
  <c r="D26" i="1"/>
  <c r="D24" i="1"/>
  <c r="D23" i="1"/>
  <c r="D19" i="1"/>
  <c r="D18" i="1"/>
  <c r="K56" i="1"/>
  <c r="K66" i="1"/>
  <c r="F69" i="1"/>
  <c r="E72" i="1"/>
  <c r="K60" i="1"/>
  <c r="S66" i="1"/>
  <c r="Q41" i="1"/>
  <c r="Q44" i="1"/>
  <c r="F52" i="1"/>
  <c r="F42" i="1"/>
  <c r="Q50" i="1"/>
  <c r="Q46" i="1"/>
  <c r="Q42" i="1"/>
  <c r="K45" i="1"/>
  <c r="K54" i="1"/>
  <c r="I54" i="1"/>
  <c r="Q51" i="1"/>
  <c r="Q49" i="1"/>
  <c r="Q43" i="1"/>
  <c r="J54" i="1"/>
  <c r="Q53" i="1"/>
  <c r="F53" i="1"/>
  <c r="F50" i="1"/>
  <c r="F48" i="1"/>
  <c r="F46" i="1"/>
  <c r="E54" i="1"/>
  <c r="F51" i="1"/>
  <c r="F49" i="1"/>
  <c r="F47" i="1"/>
  <c r="R45" i="1"/>
  <c r="F44" i="1"/>
  <c r="F29" i="1"/>
  <c r="D33" i="1"/>
  <c r="T33" i="1"/>
  <c r="I31" i="1"/>
  <c r="J32" i="1"/>
  <c r="Q32" i="1"/>
  <c r="J35" i="1"/>
  <c r="Q35" i="1"/>
  <c r="J36" i="1"/>
  <c r="Q36" i="1"/>
  <c r="J37" i="1"/>
  <c r="Q37" i="1"/>
  <c r="I30" i="1"/>
  <c r="I28" i="1"/>
  <c r="K32" i="1"/>
  <c r="K35" i="1"/>
  <c r="K36" i="1"/>
  <c r="K37" i="1"/>
  <c r="J29" i="1"/>
  <c r="E30" i="1"/>
  <c r="E32" i="1"/>
  <c r="E33" i="1"/>
  <c r="E34" i="1"/>
  <c r="E35" i="1"/>
  <c r="E36" i="1"/>
  <c r="E37" i="1"/>
  <c r="E38" i="1"/>
  <c r="E39" i="1"/>
  <c r="D28" i="1"/>
  <c r="F28" i="1"/>
  <c r="T13" i="1"/>
  <c r="I3" i="1"/>
  <c r="F35" i="1"/>
  <c r="R35" i="1"/>
  <c r="F33" i="1"/>
  <c r="R33" i="1"/>
  <c r="F30" i="1"/>
  <c r="R30" i="1"/>
  <c r="K29" i="1"/>
  <c r="Q29" i="1"/>
  <c r="J30" i="1"/>
  <c r="T30" i="1"/>
  <c r="F34" i="1"/>
  <c r="R34" i="1"/>
  <c r="F32" i="1"/>
  <c r="R32" i="1"/>
  <c r="J28" i="1"/>
  <c r="T28" i="1"/>
  <c r="J31" i="1"/>
  <c r="T31" i="1"/>
  <c r="F39" i="1"/>
  <c r="R39" i="1"/>
  <c r="F38" i="1"/>
  <c r="R38" i="1"/>
  <c r="F37" i="1"/>
  <c r="R37" i="1"/>
  <c r="F36" i="1"/>
  <c r="R36" i="1"/>
  <c r="R16" i="1"/>
  <c r="I26" i="1"/>
  <c r="I24" i="1"/>
  <c r="I23" i="1"/>
  <c r="I22" i="1"/>
  <c r="I21" i="1"/>
  <c r="I19" i="1"/>
  <c r="I18" i="1"/>
  <c r="I17" i="1"/>
  <c r="J18" i="1"/>
  <c r="Q18" i="1"/>
  <c r="J25" i="1"/>
  <c r="Q25" i="1"/>
  <c r="I16" i="1"/>
  <c r="F27" i="1"/>
  <c r="E23" i="1"/>
  <c r="R23" i="1"/>
  <c r="E24" i="1"/>
  <c r="R24" i="1"/>
  <c r="D25" i="1"/>
  <c r="E26" i="1"/>
  <c r="R26" i="1"/>
  <c r="D20" i="1"/>
  <c r="I20" i="1"/>
  <c r="E21" i="1"/>
  <c r="R21" i="1"/>
  <c r="E22" i="1"/>
  <c r="R22" i="1"/>
  <c r="E19" i="1"/>
  <c r="R19" i="1"/>
  <c r="E18" i="1"/>
  <c r="R18" i="1"/>
  <c r="R4" i="1"/>
  <c r="R3" i="1"/>
  <c r="I14" i="1"/>
  <c r="I12" i="1"/>
  <c r="I11" i="1"/>
  <c r="I9" i="1"/>
  <c r="K9" i="1"/>
  <c r="I8" i="1"/>
  <c r="I6" i="1"/>
  <c r="I5" i="1"/>
  <c r="J6" i="1"/>
  <c r="Q6" i="1"/>
  <c r="I4" i="1"/>
  <c r="J3" i="1"/>
  <c r="Q3" i="1"/>
  <c r="F4" i="1"/>
  <c r="F15" i="1"/>
  <c r="D6" i="1"/>
  <c r="E6" i="1"/>
  <c r="R6" i="1"/>
  <c r="D7" i="1"/>
  <c r="I7" i="1"/>
  <c r="T7" i="1"/>
  <c r="E7" i="1"/>
  <c r="R7" i="1"/>
  <c r="D8" i="1"/>
  <c r="E8" i="1"/>
  <c r="R8" i="1"/>
  <c r="D9" i="1"/>
  <c r="E9" i="1"/>
  <c r="R9" i="1"/>
  <c r="D10" i="1"/>
  <c r="I10" i="1"/>
  <c r="T10" i="1"/>
  <c r="E10" i="1"/>
  <c r="R10" i="1"/>
  <c r="D11" i="1"/>
  <c r="E11" i="1"/>
  <c r="R11" i="1"/>
  <c r="D12" i="1"/>
  <c r="E12" i="1"/>
  <c r="R12" i="1"/>
  <c r="D13" i="1"/>
  <c r="I13" i="1"/>
  <c r="E13" i="1"/>
  <c r="R13" i="1"/>
  <c r="D14" i="1"/>
  <c r="E14" i="1"/>
  <c r="R14" i="1"/>
  <c r="D5" i="1"/>
  <c r="E5" i="1"/>
  <c r="E15" i="1"/>
  <c r="F3" i="1"/>
  <c r="K30" i="1"/>
  <c r="Q30" i="1"/>
  <c r="K31" i="1"/>
  <c r="Q31" i="1"/>
  <c r="K28" i="1"/>
  <c r="Q28" i="1"/>
  <c r="S18" i="1"/>
  <c r="T6" i="1"/>
  <c r="J20" i="1"/>
  <c r="Q20" i="1"/>
  <c r="T20" i="1"/>
  <c r="E25" i="1"/>
  <c r="R25" i="1"/>
  <c r="S25" i="1"/>
  <c r="T25" i="1"/>
  <c r="J16" i="1"/>
  <c r="Q16" i="1"/>
  <c r="D16" i="1"/>
  <c r="T16" i="1"/>
  <c r="T18" i="1"/>
  <c r="J21" i="1"/>
  <c r="Q21" i="1"/>
  <c r="S21" i="1"/>
  <c r="T21" i="1"/>
  <c r="J23" i="1"/>
  <c r="Q23" i="1"/>
  <c r="S23" i="1"/>
  <c r="T23" i="1"/>
  <c r="J26" i="1"/>
  <c r="Q26" i="1"/>
  <c r="S26" i="1"/>
  <c r="T26" i="1"/>
  <c r="J17" i="1"/>
  <c r="Q17" i="1"/>
  <c r="S17" i="1"/>
  <c r="J19" i="1"/>
  <c r="Q19" i="1"/>
  <c r="S19" i="1"/>
  <c r="T19" i="1"/>
  <c r="J22" i="1"/>
  <c r="Q22" i="1"/>
  <c r="S22" i="1"/>
  <c r="T22" i="1"/>
  <c r="J24" i="1"/>
  <c r="Q24" i="1"/>
  <c r="S24" i="1"/>
  <c r="T24" i="1"/>
  <c r="J4" i="1"/>
  <c r="Q4" i="1"/>
  <c r="J9" i="1"/>
  <c r="Q9" i="1"/>
  <c r="T9" i="1"/>
  <c r="K12" i="1"/>
  <c r="T12" i="1"/>
  <c r="J12" i="1"/>
  <c r="Q12" i="1"/>
  <c r="K6" i="1"/>
  <c r="J5" i="1"/>
  <c r="Q5" i="1"/>
  <c r="T5" i="1"/>
  <c r="K8" i="1"/>
  <c r="T8" i="1"/>
  <c r="J11" i="1"/>
  <c r="Q11" i="1"/>
  <c r="T11" i="1"/>
  <c r="J14" i="1"/>
  <c r="Q14" i="1"/>
  <c r="T14" i="1"/>
  <c r="E20" i="1"/>
  <c r="J8" i="1"/>
  <c r="Q8" i="1"/>
  <c r="K14" i="1"/>
  <c r="K11" i="1"/>
  <c r="K5" i="1"/>
  <c r="J13" i="1"/>
  <c r="Q13" i="1"/>
  <c r="K13" i="1"/>
  <c r="J7" i="1"/>
  <c r="Q7" i="1"/>
  <c r="K7" i="1"/>
  <c r="K4" i="1"/>
  <c r="J10" i="1"/>
  <c r="Q10" i="1"/>
  <c r="K10" i="1"/>
  <c r="K3" i="1"/>
  <c r="R5" i="1"/>
  <c r="E27" i="1"/>
  <c r="R20" i="1"/>
  <c r="S20" i="1"/>
  <c r="K17" i="1"/>
  <c r="K27" i="1"/>
  <c r="J27" i="1"/>
  <c r="S74" i="1"/>
  <c r="S73" i="1"/>
  <c r="S55" i="1"/>
  <c r="S28" i="1"/>
  <c r="S16" i="1"/>
  <c r="S42" i="1"/>
  <c r="S41" i="1"/>
  <c r="S29" i="1"/>
  <c r="S4" i="1"/>
  <c r="S5" i="1"/>
  <c r="S6" i="1"/>
  <c r="S7" i="1"/>
  <c r="S8" i="1"/>
  <c r="S9" i="1"/>
  <c r="S10" i="1"/>
  <c r="S11" i="1"/>
  <c r="S12" i="1"/>
  <c r="S13" i="1"/>
  <c r="S14" i="1"/>
  <c r="G77" i="1"/>
  <c r="M77" i="1"/>
  <c r="O77" i="1"/>
  <c r="S36" i="1"/>
  <c r="S35" i="1"/>
  <c r="T40" i="1"/>
  <c r="S77" i="1"/>
  <c r="S51" i="1"/>
  <c r="Q54" i="1"/>
  <c r="S49" i="1"/>
  <c r="S46" i="1"/>
  <c r="S32" i="1"/>
  <c r="R27" i="1"/>
  <c r="Q27" i="1"/>
  <c r="R15" i="1"/>
  <c r="T77" i="1"/>
  <c r="O64" i="1"/>
  <c r="S27" i="1"/>
  <c r="D77" i="1"/>
  <c r="I77" i="1"/>
  <c r="M72" i="1"/>
  <c r="O72" i="1"/>
  <c r="G72" i="1"/>
  <c r="S47" i="1"/>
  <c r="R72" i="1"/>
  <c r="D57" i="1"/>
  <c r="D72" i="1"/>
  <c r="F57" i="1"/>
  <c r="F72" i="1"/>
  <c r="T57" i="1"/>
  <c r="D43" i="1"/>
  <c r="F43" i="1"/>
  <c r="T43" i="1"/>
  <c r="S43" i="1"/>
  <c r="S53" i="1"/>
  <c r="S50" i="1"/>
  <c r="S48" i="1"/>
  <c r="S44" i="1"/>
  <c r="S45" i="1"/>
  <c r="R54" i="1"/>
  <c r="M39" i="1"/>
  <c r="D41" i="1"/>
  <c r="D54" i="1"/>
  <c r="F41" i="1"/>
  <c r="F54" i="1"/>
  <c r="T41" i="1"/>
  <c r="T54" i="1"/>
  <c r="S54" i="1"/>
  <c r="G54" i="1"/>
  <c r="O54" i="1"/>
  <c r="M54" i="1"/>
  <c r="S37" i="1"/>
  <c r="J38" i="1"/>
  <c r="K38" i="1"/>
  <c r="Q38" i="1"/>
  <c r="S38" i="1"/>
  <c r="J33" i="1"/>
  <c r="M40" i="1"/>
  <c r="K33" i="1"/>
  <c r="Q33" i="1"/>
  <c r="S33" i="1"/>
  <c r="J39" i="1"/>
  <c r="K39" i="1"/>
  <c r="Q39" i="1"/>
  <c r="S39" i="1"/>
  <c r="E31" i="1"/>
  <c r="J34" i="1"/>
  <c r="R31" i="1"/>
  <c r="S31" i="1"/>
  <c r="E40" i="1"/>
  <c r="F31" i="1"/>
  <c r="F40" i="1"/>
  <c r="K34" i="1"/>
  <c r="K40" i="1"/>
  <c r="Q34" i="1"/>
  <c r="J40" i="1"/>
  <c r="Q40" i="1"/>
  <c r="S34" i="1"/>
  <c r="S30" i="1"/>
  <c r="R40" i="1"/>
  <c r="S40" i="1"/>
  <c r="O40" i="1"/>
  <c r="D40" i="1"/>
  <c r="G15" i="1"/>
  <c r="M27" i="1"/>
  <c r="O27" i="1"/>
  <c r="I40" i="1"/>
  <c r="G40" i="1"/>
  <c r="E20" i="5"/>
  <c r="E11" i="5"/>
  <c r="E6" i="5"/>
  <c r="E25" i="5"/>
  <c r="O14" i="1"/>
  <c r="O12" i="1"/>
  <c r="O8" i="1"/>
  <c r="Q12" i="3"/>
  <c r="Q11" i="3"/>
  <c r="M10" i="3"/>
  <c r="M11" i="3"/>
  <c r="M12" i="3"/>
  <c r="M9" i="3"/>
  <c r="O3" i="4"/>
  <c r="R3" i="4"/>
  <c r="O2" i="4"/>
  <c r="R2" i="4"/>
  <c r="N12" i="3"/>
  <c r="O12" i="3"/>
  <c r="N11" i="3"/>
  <c r="O11" i="3"/>
  <c r="Q9" i="3"/>
  <c r="Q10" i="3"/>
  <c r="Q7" i="3"/>
  <c r="Q8" i="3"/>
  <c r="Q3" i="3"/>
  <c r="Q4" i="3"/>
  <c r="R4" i="3"/>
  <c r="R5" i="3"/>
  <c r="R6" i="3"/>
  <c r="O10" i="3"/>
  <c r="O9" i="3"/>
  <c r="O8" i="3"/>
  <c r="O7" i="3"/>
  <c r="R3" i="3"/>
  <c r="R7" i="3"/>
  <c r="R9" i="3"/>
  <c r="R12" i="3"/>
  <c r="R11" i="3"/>
  <c r="R8" i="3"/>
  <c r="R10" i="3"/>
  <c r="O11" i="1"/>
  <c r="O9" i="1"/>
  <c r="O6" i="1"/>
  <c r="O5" i="1"/>
  <c r="M15" i="1"/>
  <c r="D17" i="1"/>
  <c r="T17" i="1"/>
  <c r="T27" i="1"/>
  <c r="D4" i="1"/>
  <c r="T4" i="1"/>
  <c r="D3" i="1"/>
  <c r="T3" i="1"/>
  <c r="I27" i="1"/>
  <c r="T15" i="1"/>
  <c r="S3" i="1"/>
  <c r="S15" i="1"/>
  <c r="Q15" i="1"/>
  <c r="G27" i="1"/>
  <c r="D27" i="1"/>
  <c r="D15" i="1"/>
  <c r="O15" i="1"/>
  <c r="T70" i="1"/>
  <c r="T72" i="1"/>
  <c r="I72" i="1"/>
  <c r="J70" i="1"/>
  <c r="J72" i="1"/>
  <c r="Q70" i="1"/>
  <c r="S70" i="1"/>
  <c r="S72" i="1"/>
  <c r="K70" i="1"/>
  <c r="K72" i="1"/>
  <c r="Q72" i="1"/>
</calcChain>
</file>

<file path=xl/sharedStrings.xml><?xml version="1.0" encoding="utf-8"?>
<sst xmlns="http://schemas.openxmlformats.org/spreadsheetml/2006/main" count="447" uniqueCount="196">
  <si>
    <t xml:space="preserve">Chris </t>
  </si>
  <si>
    <t>Make all cheques payable to:</t>
  </si>
  <si>
    <t>C CUBED Data Integrators</t>
  </si>
  <si>
    <t>GST #83637 8984 RT0001</t>
  </si>
  <si>
    <t>Resource</t>
  </si>
  <si>
    <t>Outgoing Invoice Submitted</t>
  </si>
  <si>
    <t>Payment Received</t>
  </si>
  <si>
    <t>Payment Made</t>
  </si>
  <si>
    <t>y</t>
  </si>
  <si>
    <t>Manuel</t>
  </si>
  <si>
    <t>Carla</t>
  </si>
  <si>
    <t xml:space="preserve">Bill </t>
  </si>
  <si>
    <t>Kevin</t>
  </si>
  <si>
    <t>Pradeep</t>
  </si>
  <si>
    <t>Tim</t>
  </si>
  <si>
    <t>Jennifer</t>
  </si>
  <si>
    <t>Debabrata</t>
  </si>
  <si>
    <t>Manuel Exp</t>
  </si>
  <si>
    <t>Tim exp</t>
  </si>
  <si>
    <t>Kevin exp</t>
  </si>
  <si>
    <t>Carla Cook, BCOM, PMP</t>
  </si>
  <si>
    <t>Managing Partner</t>
  </si>
  <si>
    <t>403.978.9099</t>
  </si>
  <si>
    <t>Month</t>
  </si>
  <si>
    <t>Nov.</t>
  </si>
  <si>
    <t>Totals</t>
  </si>
  <si>
    <t>Dec</t>
  </si>
  <si>
    <t>Dec.</t>
  </si>
  <si>
    <t>Bill</t>
  </si>
  <si>
    <t>Dec. 24</t>
  </si>
  <si>
    <t xml:space="preserve">Jan.5 </t>
  </si>
  <si>
    <t>Dec. 1</t>
  </si>
  <si>
    <t>Client</t>
  </si>
  <si>
    <t>Suncor</t>
  </si>
  <si>
    <t>Start Date</t>
  </si>
  <si>
    <t>Original End Date</t>
  </si>
  <si>
    <t>Consultant</t>
  </si>
  <si>
    <t>Bill Towsley</t>
  </si>
  <si>
    <t>Original Hourly Rate to C CUBED</t>
  </si>
  <si>
    <t>Revised Hourly Rate to C CUBED</t>
  </si>
  <si>
    <t>Original Hourly Rate to Consultant</t>
  </si>
  <si>
    <t>Consultant's Company</t>
  </si>
  <si>
    <t>Revised Hourly Rate to Consultant</t>
  </si>
  <si>
    <t>Rate to Consultant Revised as of date</t>
  </si>
  <si>
    <t>Rate to C CUBED Revised as of date</t>
  </si>
  <si>
    <t>Nov. 1, 2013</t>
  </si>
  <si>
    <t>Jun. 30, 2014</t>
  </si>
  <si>
    <t>Revised Total Value of Contract</t>
  </si>
  <si>
    <t>Chris Marko</t>
  </si>
  <si>
    <t xml:space="preserve">Chris Marko Inc. </t>
  </si>
  <si>
    <t>Client's PO / Contract Number</t>
  </si>
  <si>
    <t>Kevin Chiu</t>
  </si>
  <si>
    <t>Pradeep Venneti</t>
  </si>
  <si>
    <t>Feb. 3, 2014</t>
  </si>
  <si>
    <t xml:space="preserve"> Jul. 31, 2014</t>
  </si>
  <si>
    <t>Original Total Value of Contract</t>
  </si>
  <si>
    <t>Tim To</t>
  </si>
  <si>
    <t>Apr. 1, 2014</t>
  </si>
  <si>
    <t>Aug. 3, 2014</t>
  </si>
  <si>
    <t>Manuel Fernandez</t>
  </si>
  <si>
    <t>Ledenda Holdings</t>
  </si>
  <si>
    <t>Jun. 2, 2014</t>
  </si>
  <si>
    <t>Debabrata Rout</t>
  </si>
  <si>
    <t>Jennifer Lengsfeld</t>
  </si>
  <si>
    <t>Oct. 3, 2014</t>
  </si>
  <si>
    <t>Amount Received todate</t>
  </si>
  <si>
    <t>Amount left in Contract / PO</t>
  </si>
  <si>
    <r>
      <t>Revised End Date</t>
    </r>
    <r>
      <rPr>
        <i/>
        <sz val="11"/>
        <color theme="1"/>
        <rFont val="Calibri"/>
        <family val="2"/>
        <scheme val="minor"/>
      </rPr>
      <t xml:space="preserve"> (Orange if within month, Red if overdue)</t>
    </r>
  </si>
  <si>
    <t>FTP password</t>
  </si>
  <si>
    <t>neAr,;9qR%f+</t>
  </si>
  <si>
    <t>SI Systems</t>
  </si>
  <si>
    <t>Carla Cook</t>
  </si>
  <si>
    <t>Amount Received / Invoiced to date</t>
  </si>
  <si>
    <t>Hours Worked in:</t>
  </si>
  <si>
    <t>Invoice number</t>
  </si>
  <si>
    <t>Purchase Order Number</t>
  </si>
  <si>
    <t>Invoice Date</t>
  </si>
  <si>
    <t>20141118KCexp</t>
  </si>
  <si>
    <t>201411TTexp</t>
  </si>
  <si>
    <t>201411MFexp</t>
  </si>
  <si>
    <t>201411MF</t>
  </si>
  <si>
    <t>Payment Was Due On</t>
  </si>
  <si>
    <t>201411PV</t>
  </si>
  <si>
    <t>201411DR</t>
  </si>
  <si>
    <t>201412BT</t>
  </si>
  <si>
    <t>1 week over due</t>
  </si>
  <si>
    <t>Amount that is 1 week overdue:</t>
  </si>
  <si>
    <t>Amount that is 5 weeks overdue:</t>
  </si>
  <si>
    <t>5 weeks overdue</t>
  </si>
  <si>
    <t>not received yet</t>
  </si>
  <si>
    <t>201412CM</t>
  </si>
  <si>
    <t>201412KC</t>
  </si>
  <si>
    <t>Total Invoice Amount</t>
  </si>
  <si>
    <t>20141201KCexp</t>
  </si>
  <si>
    <t>201412PV</t>
  </si>
  <si>
    <t>201412TT</t>
  </si>
  <si>
    <t>201412JL</t>
  </si>
  <si>
    <t>201412MF</t>
  </si>
  <si>
    <t>201412DR</t>
  </si>
  <si>
    <t>Amount that is 1 day overdue:</t>
  </si>
  <si>
    <t>Jan</t>
  </si>
  <si>
    <t>Invoice Number</t>
  </si>
  <si>
    <t xml:space="preserve"> 201412BT </t>
  </si>
  <si>
    <t xml:space="preserve"> 201412CM </t>
  </si>
  <si>
    <t xml:space="preserve"> 201412KC </t>
  </si>
  <si>
    <t xml:space="preserve"> 2014120IKCEXP </t>
  </si>
  <si>
    <t xml:space="preserve"> 201412JL </t>
  </si>
  <si>
    <t xml:space="preserve"> 201412PV </t>
  </si>
  <si>
    <t xml:space="preserve"> 201412TT </t>
  </si>
  <si>
    <t>Payment Date</t>
  </si>
  <si>
    <t>201412CC</t>
  </si>
  <si>
    <t>201501BT</t>
  </si>
  <si>
    <t>201501CM</t>
  </si>
  <si>
    <t>201501TT</t>
  </si>
  <si>
    <t>201501DR</t>
  </si>
  <si>
    <t>201501KC</t>
  </si>
  <si>
    <t>201501PV</t>
  </si>
  <si>
    <t>201501MF</t>
  </si>
  <si>
    <t>20150109KCexp</t>
  </si>
  <si>
    <t>-</t>
  </si>
  <si>
    <t>20150109TTexp</t>
  </si>
  <si>
    <t>Received Date</t>
  </si>
  <si>
    <t>201501NoticeJL</t>
  </si>
  <si>
    <t>20150116JL</t>
  </si>
  <si>
    <t>Hours / Invoice Saved</t>
  </si>
  <si>
    <t>Feb</t>
  </si>
  <si>
    <t>201502CC</t>
  </si>
  <si>
    <t>201502BT</t>
  </si>
  <si>
    <t>201502_TT_SUNCOR</t>
  </si>
  <si>
    <t>20150219TTexp</t>
  </si>
  <si>
    <t>Mar</t>
  </si>
  <si>
    <t>201502MF</t>
  </si>
  <si>
    <t>201502PV</t>
  </si>
  <si>
    <t>20150219KCexp</t>
  </si>
  <si>
    <t>201502MFexp</t>
  </si>
  <si>
    <t>201502BTpart2</t>
  </si>
  <si>
    <t>201502CMKCPV</t>
  </si>
  <si>
    <t>201502DR</t>
  </si>
  <si>
    <t>201503CCUBED</t>
  </si>
  <si>
    <t>Pradeep Overtime</t>
  </si>
  <si>
    <t>SLP-201503</t>
  </si>
  <si>
    <t>Samalei Inc-201503</t>
  </si>
  <si>
    <t>Debabrata Overtime</t>
  </si>
  <si>
    <t>Chris Overtime</t>
  </si>
  <si>
    <t>Profit</t>
  </si>
  <si>
    <t>201503CM</t>
  </si>
  <si>
    <t>201503PV</t>
  </si>
  <si>
    <t>201503DR</t>
  </si>
  <si>
    <t>Apr</t>
  </si>
  <si>
    <t>201503BT-OT</t>
  </si>
  <si>
    <t>20141208KCexp</t>
  </si>
  <si>
    <t>201503KC</t>
  </si>
  <si>
    <t>201504BT</t>
  </si>
  <si>
    <t>201504CC</t>
  </si>
  <si>
    <t>Kevin OT</t>
  </si>
  <si>
    <t>May</t>
  </si>
  <si>
    <t>GST Paid</t>
  </si>
  <si>
    <t>GST Collected</t>
  </si>
  <si>
    <t>Net GST</t>
  </si>
  <si>
    <t>Enter Bills</t>
  </si>
  <si>
    <t>Create Invoices</t>
  </si>
  <si>
    <t>Receive Payment</t>
  </si>
  <si>
    <t>Pay Bills</t>
  </si>
  <si>
    <t>Invoice/ Timesheet Received Before GST</t>
  </si>
  <si>
    <t xml:space="preserve">GST on Invoice Received </t>
  </si>
  <si>
    <t>Outgoing Invoice Before GST</t>
  </si>
  <si>
    <t>GST Invoiced</t>
  </si>
  <si>
    <t>Payable including GST</t>
  </si>
  <si>
    <t>Receivable including GST</t>
  </si>
  <si>
    <t>201501b</t>
  </si>
  <si>
    <t>201505TT</t>
  </si>
  <si>
    <t>Chris</t>
  </si>
  <si>
    <t>201505CC</t>
  </si>
  <si>
    <t>2015-4</t>
  </si>
  <si>
    <t>PD1505BT</t>
  </si>
  <si>
    <t>201505BTCM</t>
  </si>
  <si>
    <t>Bill Expenses</t>
  </si>
  <si>
    <t>UGI1505-Btexp</t>
  </si>
  <si>
    <t>Received On Date</t>
  </si>
  <si>
    <t>Precision Drilling</t>
  </si>
  <si>
    <t>Jun</t>
  </si>
  <si>
    <t>201506CC</t>
  </si>
  <si>
    <t>June</t>
  </si>
  <si>
    <t>201507CC</t>
  </si>
  <si>
    <t>July</t>
  </si>
  <si>
    <t>Aug</t>
  </si>
  <si>
    <t>201508CC</t>
  </si>
  <si>
    <t>Sept</t>
  </si>
  <si>
    <t>201509CC</t>
  </si>
  <si>
    <t>201508BT</t>
  </si>
  <si>
    <t>201510CC</t>
  </si>
  <si>
    <t>Oct. 1</t>
  </si>
  <si>
    <t>Nov. 2</t>
  </si>
  <si>
    <t>Oct</t>
  </si>
  <si>
    <t>Aug.31</t>
  </si>
  <si>
    <t>Oct.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</si>
</sst>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1009]d/mmm/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sz val="11"/>
      <color rgb="FFCC0099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4" applyNumberFormat="0" applyAlignment="0" applyProtection="0"/>
    <xf numFmtId="0" fontId="19" fillId="11" borderId="5" applyNumberFormat="0" applyAlignment="0" applyProtection="0"/>
    <xf numFmtId="0" fontId="20" fillId="11" borderId="4" applyNumberFormat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7" fillId="0" borderId="0" applyNumberFormat="0" applyFill="0" applyBorder="0" applyAlignment="0" applyProtection="0"/>
    <xf numFmtId="0" fontId="10" fillId="13" borderId="8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24" fillId="37" borderId="0" applyNumberFormat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44" fontId="1" fillId="2" borderId="0" xfId="0" applyNumberFormat="1" applyFont="1" applyFill="1" applyAlignment="1">
      <alignment wrapText="1"/>
    </xf>
    <xf numFmtId="44" fontId="0" fillId="0" borderId="0" xfId="0" applyNumberFormat="1"/>
    <xf numFmtId="44" fontId="0" fillId="3" borderId="0" xfId="0" applyNumberForma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0" fillId="5" borderId="0" xfId="0" applyFill="1"/>
    <xf numFmtId="0" fontId="0" fillId="5" borderId="0" xfId="0" applyFill="1" applyAlignment="1"/>
    <xf numFmtId="44" fontId="1" fillId="4" borderId="0" xfId="0" applyNumberFormat="1" applyFont="1" applyFill="1" applyAlignment="1">
      <alignment wrapText="1"/>
    </xf>
    <xf numFmtId="44" fontId="0" fillId="5" borderId="0" xfId="0" applyNumberFormat="1" applyFill="1"/>
    <xf numFmtId="44" fontId="0" fillId="0" borderId="0" xfId="0" applyNumberFormat="1" applyFill="1"/>
    <xf numFmtId="0" fontId="1" fillId="6" borderId="0" xfId="0" applyFont="1" applyFill="1" applyAlignment="1">
      <alignment wrapText="1"/>
    </xf>
    <xf numFmtId="164" fontId="1" fillId="4" borderId="0" xfId="0" applyNumberFormat="1" applyFont="1" applyFill="1" applyAlignment="1">
      <alignment wrapText="1"/>
    </xf>
    <xf numFmtId="164" fontId="0" fillId="0" borderId="0" xfId="0" applyNumberFormat="1"/>
    <xf numFmtId="164" fontId="0" fillId="5" borderId="0" xfId="0" applyNumberFormat="1" applyFill="1"/>
    <xf numFmtId="164" fontId="0" fillId="0" borderId="0" xfId="0" applyNumberFormat="1" applyFill="1"/>
    <xf numFmtId="164" fontId="0" fillId="5" borderId="0" xfId="0" applyNumberFormat="1" applyFill="1" applyAlignment="1">
      <alignment horizontal="left"/>
    </xf>
    <xf numFmtId="16" fontId="0" fillId="0" borderId="0" xfId="0" applyNumberFormat="1" applyFill="1"/>
    <xf numFmtId="15" fontId="0" fillId="0" borderId="0" xfId="0" applyNumberFormat="1"/>
    <xf numFmtId="0" fontId="0" fillId="0" borderId="0" xfId="0" applyNumberFormat="1"/>
    <xf numFmtId="0" fontId="1" fillId="0" borderId="0" xfId="0" applyFont="1" applyAlignment="1">
      <alignment wrapText="1"/>
    </xf>
    <xf numFmtId="16" fontId="0" fillId="0" borderId="0" xfId="0" applyNumberFormat="1"/>
    <xf numFmtId="0" fontId="7" fillId="0" borderId="0" xfId="0" applyFont="1"/>
    <xf numFmtId="15" fontId="8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right"/>
    </xf>
    <xf numFmtId="44" fontId="9" fillId="0" borderId="0" xfId="0" applyNumberFormat="1" applyFont="1"/>
    <xf numFmtId="0" fontId="9" fillId="0" borderId="0" xfId="0" applyFont="1"/>
    <xf numFmtId="15" fontId="9" fillId="0" borderId="0" xfId="0" applyNumberFormat="1" applyFont="1" applyAlignment="1">
      <alignment horizontal="right"/>
    </xf>
    <xf numFmtId="44" fontId="7" fillId="0" borderId="0" xfId="0" applyNumberFormat="1" applyFont="1"/>
    <xf numFmtId="0" fontId="0" fillId="0" borderId="0" xfId="0"/>
    <xf numFmtId="0" fontId="0" fillId="0" borderId="0" xfId="0"/>
    <xf numFmtId="0" fontId="0" fillId="38" borderId="0" xfId="0" applyFill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44" fontId="0" fillId="0" borderId="10" xfId="0" applyNumberFormat="1" applyBorder="1"/>
    <xf numFmtId="44" fontId="0" fillId="0" borderId="0" xfId="0" applyNumberFormat="1" applyFill="1" applyBorder="1"/>
    <xf numFmtId="0" fontId="0" fillId="0" borderId="11" xfId="0" applyBorder="1"/>
    <xf numFmtId="0" fontId="0" fillId="0" borderId="10" xfId="0" applyBorder="1"/>
    <xf numFmtId="0" fontId="0" fillId="3" borderId="10" xfId="0" applyFill="1" applyBorder="1"/>
    <xf numFmtId="44" fontId="0" fillId="3" borderId="0" xfId="0" applyNumberFormat="1" applyFill="1" applyBorder="1"/>
    <xf numFmtId="0" fontId="0" fillId="3" borderId="11" xfId="0" applyNumberFormat="1" applyFill="1" applyBorder="1"/>
    <xf numFmtId="44" fontId="0" fillId="0" borderId="0" xfId="0" applyNumberFormat="1" applyBorder="1"/>
    <xf numFmtId="0" fontId="0" fillId="0" borderId="11" xfId="0" applyFill="1" applyBorder="1"/>
    <xf numFmtId="0" fontId="0" fillId="0" borderId="10" xfId="0" applyBorder="1" applyAlignment="1">
      <alignment horizontal="left"/>
    </xf>
    <xf numFmtId="0" fontId="0" fillId="3" borderId="11" xfId="0" applyFill="1" applyBorder="1"/>
    <xf numFmtId="44" fontId="0" fillId="0" borderId="10" xfId="0" applyNumberFormat="1" applyFill="1" applyBorder="1"/>
    <xf numFmtId="16" fontId="0" fillId="0" borderId="11" xfId="0" applyNumberFormat="1" applyFill="1" applyBorder="1"/>
    <xf numFmtId="44" fontId="0" fillId="3" borderId="10" xfId="0" applyNumberFormat="1" applyFill="1" applyBorder="1"/>
    <xf numFmtId="44" fontId="0" fillId="3" borderId="11" xfId="0" applyNumberFormat="1" applyFill="1" applyBorder="1"/>
    <xf numFmtId="16" fontId="0" fillId="0" borderId="11" xfId="0" applyNumberFormat="1" applyBorder="1"/>
    <xf numFmtId="16" fontId="0" fillId="0" borderId="11" xfId="0" applyNumberFormat="1" applyBorder="1" applyAlignment="1">
      <alignment horizontal="center"/>
    </xf>
    <xf numFmtId="44" fontId="1" fillId="2" borderId="11" xfId="0" applyNumberFormat="1" applyFont="1" applyFill="1" applyBorder="1" applyAlignment="1">
      <alignment wrapText="1"/>
    </xf>
    <xf numFmtId="44" fontId="0" fillId="0" borderId="11" xfId="0" applyNumberFormat="1" applyFill="1" applyBorder="1"/>
    <xf numFmtId="4" fontId="0" fillId="0" borderId="11" xfId="0" applyNumberFormat="1" applyFont="1" applyFill="1" applyBorder="1" applyAlignment="1" applyProtection="1"/>
    <xf numFmtId="44" fontId="0" fillId="0" borderId="11" xfId="0" applyNumberFormat="1" applyBorder="1"/>
    <xf numFmtId="0" fontId="0" fillId="0" borderId="15" xfId="0" applyBorder="1" applyAlignment="1"/>
    <xf numFmtId="44" fontId="1" fillId="2" borderId="0" xfId="0" applyNumberFormat="1" applyFont="1" applyFill="1" applyBorder="1" applyAlignment="1">
      <alignment wrapText="1"/>
    </xf>
    <xf numFmtId="0" fontId="0" fillId="3" borderId="0" xfId="0" applyNumberFormat="1" applyFill="1" applyBorder="1"/>
    <xf numFmtId="44" fontId="0" fillId="39" borderId="0" xfId="0" applyNumberFormat="1" applyFill="1"/>
    <xf numFmtId="44" fontId="26" fillId="0" borderId="0" xfId="0" applyNumberFormat="1" applyFont="1" applyFill="1" applyBorder="1"/>
    <xf numFmtId="44" fontId="26" fillId="3" borderId="0" xfId="0" applyNumberFormat="1" applyFont="1" applyFill="1" applyBorder="1"/>
    <xf numFmtId="44" fontId="26" fillId="0" borderId="0" xfId="0" applyNumberFormat="1" applyFont="1" applyBorder="1"/>
    <xf numFmtId="44" fontId="26" fillId="0" borderId="0" xfId="0" applyNumberFormat="1" applyFont="1"/>
    <xf numFmtId="44" fontId="25" fillId="2" borderId="10" xfId="0" applyNumberFormat="1" applyFont="1" applyFill="1" applyBorder="1" applyAlignment="1">
      <alignment wrapText="1"/>
    </xf>
    <xf numFmtId="44" fontId="26" fillId="0" borderId="10" xfId="0" applyNumberFormat="1" applyFont="1" applyFill="1" applyBorder="1"/>
    <xf numFmtId="44" fontId="26" fillId="0" borderId="10" xfId="0" applyNumberFormat="1" applyFont="1" applyBorder="1"/>
    <xf numFmtId="44" fontId="26" fillId="3" borderId="10" xfId="0" applyNumberFormat="1" applyFont="1" applyFill="1" applyBorder="1"/>
    <xf numFmtId="44" fontId="27" fillId="2" borderId="0" xfId="0" applyNumberFormat="1" applyFont="1" applyFill="1" applyBorder="1" applyAlignment="1">
      <alignment wrapText="1"/>
    </xf>
    <xf numFmtId="44" fontId="28" fillId="0" borderId="0" xfId="0" applyNumberFormat="1" applyFont="1" applyBorder="1"/>
    <xf numFmtId="0" fontId="28" fillId="3" borderId="0" xfId="0" applyNumberFormat="1" applyFont="1" applyFill="1" applyBorder="1"/>
    <xf numFmtId="44" fontId="28" fillId="0" borderId="0" xfId="0" applyNumberFormat="1" applyFont="1" applyFill="1" applyBorder="1"/>
    <xf numFmtId="44" fontId="28" fillId="3" borderId="0" xfId="0" applyNumberFormat="1" applyFont="1" applyFill="1" applyBorder="1"/>
    <xf numFmtId="44" fontId="28" fillId="0" borderId="0" xfId="0" applyNumberFormat="1" applyFont="1"/>
    <xf numFmtId="44" fontId="27" fillId="2" borderId="10" xfId="0" applyNumberFormat="1" applyFont="1" applyFill="1" applyBorder="1" applyAlignment="1">
      <alignment horizontal="left" wrapText="1"/>
    </xf>
    <xf numFmtId="44" fontId="28" fillId="0" borderId="10" xfId="0" applyNumberFormat="1" applyFont="1" applyFill="1" applyBorder="1"/>
    <xf numFmtId="44" fontId="28" fillId="39" borderId="10" xfId="0" applyNumberFormat="1" applyFont="1" applyFill="1" applyBorder="1"/>
    <xf numFmtId="44" fontId="28" fillId="3" borderId="10" xfId="0" applyNumberFormat="1" applyFont="1" applyFill="1" applyBorder="1"/>
    <xf numFmtId="4" fontId="28" fillId="0" borderId="10" xfId="0" applyNumberFormat="1" applyFont="1" applyFill="1" applyBorder="1" applyAlignment="1" applyProtection="1"/>
    <xf numFmtId="44" fontId="28" fillId="0" borderId="10" xfId="0" applyNumberFormat="1" applyFont="1" applyBorder="1"/>
    <xf numFmtId="0" fontId="0" fillId="0" borderId="0" xfId="0" applyBorder="1"/>
    <xf numFmtId="17" fontId="0" fillId="0" borderId="10" xfId="0" quotePrefix="1" applyNumberFormat="1" applyBorder="1"/>
    <xf numFmtId="0" fontId="1" fillId="2" borderId="0" xfId="0" applyFont="1" applyFill="1" applyBorder="1" applyAlignment="1">
      <alignment wrapText="1"/>
    </xf>
    <xf numFmtId="0" fontId="0" fillId="0" borderId="0" xfId="0" applyFill="1" applyBorder="1"/>
    <xf numFmtId="0" fontId="0" fillId="3" borderId="0" xfId="0" applyFill="1" applyBorder="1"/>
    <xf numFmtId="44" fontId="1" fillId="2" borderId="16" xfId="0" applyNumberFormat="1" applyFont="1" applyFill="1" applyBorder="1" applyAlignment="1">
      <alignment horizontal="left" wrapText="1"/>
    </xf>
    <xf numFmtId="44" fontId="1" fillId="2" borderId="17" xfId="0" applyNumberFormat="1" applyFont="1" applyFill="1" applyBorder="1" applyAlignment="1">
      <alignment horizontal="left" wrapText="1"/>
    </xf>
    <xf numFmtId="44" fontId="25" fillId="2" borderId="17" xfId="0" applyNumberFormat="1" applyFont="1" applyFill="1" applyBorder="1" applyAlignment="1">
      <alignment horizontal="left" wrapText="1"/>
    </xf>
    <xf numFmtId="0" fontId="1" fillId="2" borderId="18" xfId="0" applyFont="1" applyFill="1" applyBorder="1" applyAlignment="1">
      <alignment wrapText="1"/>
    </xf>
    <xf numFmtId="0" fontId="0" fillId="39" borderId="10" xfId="0" applyFill="1" applyBorder="1"/>
    <xf numFmtId="0" fontId="0" fillId="0" borderId="10" xfId="0" applyFill="1" applyBorder="1"/>
    <xf numFmtId="44" fontId="0" fillId="0" borderId="12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rgb="FFC0000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rgb="FFC0000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patternFill>
          <bgColor theme="7" tint="0.39994506668294322"/>
        </patternFill>
      </fill>
    </dxf>
    <dxf>
      <font>
        <strike val="0"/>
        <color theme="0"/>
      </font>
      <fill>
        <gradientFill degree="90">
          <stop position="0">
            <color rgb="FFCC330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CC0099"/>
      <color rgb="FFFF99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3</xdr:row>
      <xdr:rowOff>137160</xdr:rowOff>
    </xdr:from>
    <xdr:to>
      <xdr:col>5</xdr:col>
      <xdr:colOff>383655</xdr:colOff>
      <xdr:row>6</xdr:row>
      <xdr:rowOff>159987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895" y="1280160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tabSelected="1" topLeftCell="A76" zoomScaleNormal="100" workbookViewId="0">
      <selection activeCell="O78" activeCellId="8" sqref="O3 O16 O28 O41 O55 O56 O73 O91 O78"/>
    </sheetView>
  </sheetViews>
  <sheetFormatPr defaultRowHeight="14.4" outlineLevelRow="1" x14ac:dyDescent="0.3"/>
  <cols>
    <col min="1" max="1" width="4.109375" customWidth="1"/>
    <col min="2" max="2" width="11" customWidth="1"/>
    <col min="3" max="3" width="10.109375" style="39" customWidth="1"/>
    <col min="4" max="5" width="14.109375" style="9" customWidth="1"/>
    <col min="6" max="6" width="14.109375" style="72" customWidth="1"/>
    <col min="7" max="7" width="9.33203125" customWidth="1"/>
    <col min="8" max="8" width="8.33203125" style="40" customWidth="1"/>
    <col min="9" max="9" width="16" style="9" customWidth="1"/>
    <col min="10" max="10" width="12" style="9" customWidth="1"/>
    <col min="11" max="11" width="13.88671875" style="82" customWidth="1"/>
    <col min="12" max="12" width="7.5546875" customWidth="1"/>
    <col min="13" max="13" width="14.109375" style="82" customWidth="1"/>
    <col min="14" max="14" width="9.33203125" style="9" customWidth="1"/>
    <col min="15" max="15" width="13.6640625" style="72" customWidth="1"/>
    <col min="16" max="16" width="7.109375" style="9" customWidth="1"/>
    <col min="17" max="18" width="12.44140625" style="9" customWidth="1"/>
    <col min="19" max="20" width="11.88671875" customWidth="1"/>
    <col min="21" max="21" width="10.5546875" bestFit="1" customWidth="1"/>
  </cols>
  <sheetData>
    <row r="1" spans="1:21" s="40" customFormat="1" ht="15" thickBot="1" x14ac:dyDescent="0.35">
      <c r="C1" s="65"/>
      <c r="D1" s="103" t="s">
        <v>159</v>
      </c>
      <c r="E1" s="104"/>
      <c r="F1" s="104"/>
      <c r="G1" s="105"/>
      <c r="H1" s="106"/>
      <c r="I1" s="100" t="s">
        <v>160</v>
      </c>
      <c r="J1" s="101"/>
      <c r="K1" s="101"/>
      <c r="L1" s="102"/>
      <c r="M1" s="100" t="s">
        <v>161</v>
      </c>
      <c r="N1" s="102"/>
      <c r="O1" s="100" t="s">
        <v>162</v>
      </c>
      <c r="P1" s="102"/>
      <c r="Q1" s="9"/>
      <c r="R1" s="9"/>
    </row>
    <row r="2" spans="1:21" ht="72" x14ac:dyDescent="0.3">
      <c r="A2" s="6" t="s">
        <v>23</v>
      </c>
      <c r="B2" s="7" t="s">
        <v>4</v>
      </c>
      <c r="C2" s="42" t="s">
        <v>101</v>
      </c>
      <c r="D2" s="94" t="s">
        <v>163</v>
      </c>
      <c r="E2" s="95" t="s">
        <v>164</v>
      </c>
      <c r="F2" s="96" t="s">
        <v>167</v>
      </c>
      <c r="G2" s="91" t="s">
        <v>124</v>
      </c>
      <c r="H2" s="97" t="s">
        <v>178</v>
      </c>
      <c r="I2" s="66" t="s">
        <v>165</v>
      </c>
      <c r="J2" s="66" t="s">
        <v>166</v>
      </c>
      <c r="K2" s="77" t="s">
        <v>168</v>
      </c>
      <c r="L2" s="43" t="s">
        <v>5</v>
      </c>
      <c r="M2" s="83" t="s">
        <v>6</v>
      </c>
      <c r="N2" s="61" t="s">
        <v>121</v>
      </c>
      <c r="O2" s="73" t="s">
        <v>7</v>
      </c>
      <c r="P2" s="61" t="s">
        <v>109</v>
      </c>
      <c r="Q2" s="8" t="s">
        <v>157</v>
      </c>
      <c r="R2" s="8" t="s">
        <v>156</v>
      </c>
      <c r="S2" s="7" t="s">
        <v>158</v>
      </c>
      <c r="T2" s="8" t="s">
        <v>144</v>
      </c>
    </row>
    <row r="3" spans="1:21" outlineLevel="1" x14ac:dyDescent="0.3">
      <c r="A3" t="s">
        <v>24</v>
      </c>
      <c r="B3" t="s">
        <v>11</v>
      </c>
      <c r="C3" s="44"/>
      <c r="D3" s="55">
        <f>181.5*175</f>
        <v>31762.5</v>
      </c>
      <c r="E3" s="45">
        <v>0</v>
      </c>
      <c r="F3" s="69">
        <f>181.5*175</f>
        <v>31762.5</v>
      </c>
      <c r="G3" s="89">
        <v>181.5</v>
      </c>
      <c r="H3" s="46"/>
      <c r="I3" s="51">
        <f>G3*178</f>
        <v>32307</v>
      </c>
      <c r="J3" s="51">
        <f>I3*0.05</f>
        <v>1615.3500000000001</v>
      </c>
      <c r="K3" s="78">
        <f>I3*1.05</f>
        <v>33922.35</v>
      </c>
      <c r="L3" s="46" t="s">
        <v>8</v>
      </c>
      <c r="M3" s="84">
        <v>33922.35</v>
      </c>
      <c r="N3" s="62"/>
      <c r="O3" s="74">
        <v>31762.5</v>
      </c>
      <c r="P3" s="56">
        <v>42031</v>
      </c>
      <c r="Q3" s="20">
        <f>J3</f>
        <v>1615.3500000000001</v>
      </c>
      <c r="R3" s="20">
        <f>E3</f>
        <v>0</v>
      </c>
      <c r="S3" s="9">
        <f>Q3-R3</f>
        <v>1615.3500000000001</v>
      </c>
      <c r="T3" s="9">
        <f>I3-D3</f>
        <v>544.5</v>
      </c>
    </row>
    <row r="4" spans="1:21" outlineLevel="1" x14ac:dyDescent="0.3">
      <c r="A4" t="s">
        <v>24</v>
      </c>
      <c r="B4" t="s">
        <v>10</v>
      </c>
      <c r="C4" s="44"/>
      <c r="D4" s="55">
        <f>142*147</f>
        <v>20874</v>
      </c>
      <c r="E4" s="45">
        <v>0</v>
      </c>
      <c r="F4" s="69">
        <f>142*147</f>
        <v>20874</v>
      </c>
      <c r="G4" s="89">
        <v>142</v>
      </c>
      <c r="H4" s="46"/>
      <c r="I4" s="51">
        <f>G4*150</f>
        <v>21300</v>
      </c>
      <c r="J4" s="51">
        <f t="shared" ref="J4:J14" si="0">I4*0.05</f>
        <v>1065</v>
      </c>
      <c r="K4" s="78">
        <f t="shared" ref="K4:K14" si="1">I4*1.05</f>
        <v>22365</v>
      </c>
      <c r="L4" s="46" t="s">
        <v>8</v>
      </c>
      <c r="M4" s="84">
        <v>22365.01</v>
      </c>
      <c r="N4" s="62"/>
      <c r="O4" s="74">
        <v>20874</v>
      </c>
      <c r="P4" s="56">
        <v>42031</v>
      </c>
      <c r="Q4" s="20">
        <f t="shared" ref="Q4:Q14" si="2">J4</f>
        <v>1065</v>
      </c>
      <c r="R4" s="20">
        <f t="shared" ref="R4:R14" si="3">E4</f>
        <v>0</v>
      </c>
      <c r="S4" s="9">
        <f t="shared" ref="S4:S14" si="4">Q4-R4</f>
        <v>1065</v>
      </c>
      <c r="T4" s="9">
        <f t="shared" ref="T4:T26" si="5">I4-D4</f>
        <v>426</v>
      </c>
    </row>
    <row r="5" spans="1:21" outlineLevel="1" x14ac:dyDescent="0.3">
      <c r="A5" t="s">
        <v>24</v>
      </c>
      <c r="B5" t="s">
        <v>0</v>
      </c>
      <c r="C5" s="47"/>
      <c r="D5" s="55">
        <f>F5/1.05</f>
        <v>30240</v>
      </c>
      <c r="E5" s="45">
        <f>F5-F5/1.05</f>
        <v>1512</v>
      </c>
      <c r="F5" s="69">
        <v>31752</v>
      </c>
      <c r="G5" s="89">
        <v>216</v>
      </c>
      <c r="H5" s="46"/>
      <c r="I5" s="51">
        <f>G5*143</f>
        <v>30888</v>
      </c>
      <c r="J5" s="51">
        <f t="shared" si="0"/>
        <v>1544.4</v>
      </c>
      <c r="K5" s="78">
        <f t="shared" si="1"/>
        <v>32432.400000000001</v>
      </c>
      <c r="L5" s="46" t="s">
        <v>8</v>
      </c>
      <c r="M5" s="84">
        <v>32432.400000000001</v>
      </c>
      <c r="N5" s="62"/>
      <c r="O5" s="74">
        <f>D5</f>
        <v>30240</v>
      </c>
      <c r="P5" s="62"/>
      <c r="Q5" s="20">
        <f t="shared" si="2"/>
        <v>1544.4</v>
      </c>
      <c r="R5" s="20">
        <f t="shared" si="3"/>
        <v>1512</v>
      </c>
      <c r="S5" s="9">
        <f t="shared" si="4"/>
        <v>32.400000000000091</v>
      </c>
      <c r="T5" s="9">
        <f t="shared" si="5"/>
        <v>648</v>
      </c>
    </row>
    <row r="6" spans="1:21" outlineLevel="1" x14ac:dyDescent="0.3">
      <c r="A6" t="s">
        <v>24</v>
      </c>
      <c r="B6" t="s">
        <v>12</v>
      </c>
      <c r="C6" s="47"/>
      <c r="D6" s="55">
        <f t="shared" ref="D6:D14" si="6">F6/1.05</f>
        <v>28600</v>
      </c>
      <c r="E6" s="45">
        <f t="shared" ref="E6:E14" si="7">F6-F6/1.05</f>
        <v>1430</v>
      </c>
      <c r="F6" s="69">
        <v>30030</v>
      </c>
      <c r="G6" s="89">
        <v>220</v>
      </c>
      <c r="H6" s="46"/>
      <c r="I6" s="51">
        <f>G6*133</f>
        <v>29260</v>
      </c>
      <c r="J6" s="51">
        <f t="shared" si="0"/>
        <v>1463</v>
      </c>
      <c r="K6" s="78">
        <f t="shared" si="1"/>
        <v>30723</v>
      </c>
      <c r="L6" s="46" t="s">
        <v>8</v>
      </c>
      <c r="M6" s="84">
        <v>30723</v>
      </c>
      <c r="N6" s="62"/>
      <c r="O6" s="74">
        <f>D6</f>
        <v>28600</v>
      </c>
      <c r="P6" s="62"/>
      <c r="Q6" s="20">
        <f t="shared" si="2"/>
        <v>1463</v>
      </c>
      <c r="R6" s="20">
        <f t="shared" si="3"/>
        <v>1430</v>
      </c>
      <c r="S6" s="9">
        <f t="shared" si="4"/>
        <v>33</v>
      </c>
      <c r="T6" s="9">
        <f t="shared" si="5"/>
        <v>660</v>
      </c>
    </row>
    <row r="7" spans="1:21" outlineLevel="1" x14ac:dyDescent="0.3">
      <c r="A7" t="s">
        <v>24</v>
      </c>
      <c r="B7" t="s">
        <v>19</v>
      </c>
      <c r="C7" s="47"/>
      <c r="D7" s="55">
        <f t="shared" si="6"/>
        <v>1366.5047619047618</v>
      </c>
      <c r="E7" s="45">
        <f t="shared" si="7"/>
        <v>68.325238095238092</v>
      </c>
      <c r="F7" s="69">
        <v>1434.83</v>
      </c>
      <c r="G7" s="89"/>
      <c r="H7" s="46"/>
      <c r="I7" s="51">
        <f>D7</f>
        <v>1366.5047619047618</v>
      </c>
      <c r="J7" s="51">
        <f t="shared" si="0"/>
        <v>68.325238095238092</v>
      </c>
      <c r="K7" s="78">
        <f t="shared" si="1"/>
        <v>1434.83</v>
      </c>
      <c r="L7" s="46" t="s">
        <v>29</v>
      </c>
      <c r="M7" s="84">
        <v>1434.83</v>
      </c>
      <c r="N7" s="62"/>
      <c r="O7" s="74">
        <v>1434.83</v>
      </c>
      <c r="P7" s="56">
        <v>42031</v>
      </c>
      <c r="Q7" s="20">
        <f t="shared" si="2"/>
        <v>68.325238095238092</v>
      </c>
      <c r="R7" s="20">
        <f t="shared" si="3"/>
        <v>68.325238095238092</v>
      </c>
      <c r="S7" s="9">
        <f t="shared" si="4"/>
        <v>0</v>
      </c>
      <c r="T7" s="9">
        <f t="shared" si="5"/>
        <v>0</v>
      </c>
    </row>
    <row r="8" spans="1:21" outlineLevel="1" x14ac:dyDescent="0.3">
      <c r="A8" t="s">
        <v>24</v>
      </c>
      <c r="B8" t="s">
        <v>13</v>
      </c>
      <c r="C8" s="47"/>
      <c r="D8" s="55">
        <f t="shared" si="6"/>
        <v>23375</v>
      </c>
      <c r="E8" s="45">
        <f t="shared" si="7"/>
        <v>1168.75</v>
      </c>
      <c r="F8" s="69">
        <v>24543.75</v>
      </c>
      <c r="G8" s="89">
        <v>187</v>
      </c>
      <c r="H8" s="46"/>
      <c r="I8" s="51">
        <f>G8*128</f>
        <v>23936</v>
      </c>
      <c r="J8" s="51">
        <f t="shared" si="0"/>
        <v>1196.8</v>
      </c>
      <c r="K8" s="78">
        <f t="shared" si="1"/>
        <v>25132.799999999999</v>
      </c>
      <c r="L8" s="46" t="s">
        <v>8</v>
      </c>
      <c r="M8" s="84">
        <v>25132.799999999999</v>
      </c>
      <c r="N8" s="62"/>
      <c r="O8" s="74">
        <f>10000+14543.75</f>
        <v>24543.75</v>
      </c>
      <c r="P8" s="62"/>
      <c r="Q8" s="20">
        <f t="shared" si="2"/>
        <v>1196.8</v>
      </c>
      <c r="R8" s="20">
        <f t="shared" si="3"/>
        <v>1168.75</v>
      </c>
      <c r="S8" s="9">
        <f t="shared" si="4"/>
        <v>28.049999999999955</v>
      </c>
      <c r="T8" s="9">
        <f t="shared" si="5"/>
        <v>561</v>
      </c>
    </row>
    <row r="9" spans="1:21" outlineLevel="1" x14ac:dyDescent="0.3">
      <c r="A9" t="s">
        <v>24</v>
      </c>
      <c r="B9" t="s">
        <v>14</v>
      </c>
      <c r="C9" s="47"/>
      <c r="D9" s="55">
        <f t="shared" si="6"/>
        <v>19687.504761904762</v>
      </c>
      <c r="E9" s="45">
        <f t="shared" si="7"/>
        <v>984.37523809523918</v>
      </c>
      <c r="F9" s="69">
        <v>20671.88</v>
      </c>
      <c r="G9" s="89">
        <v>157.5</v>
      </c>
      <c r="H9" s="46"/>
      <c r="I9" s="51">
        <f>G9*128</f>
        <v>20160</v>
      </c>
      <c r="J9" s="51">
        <f t="shared" si="0"/>
        <v>1008</v>
      </c>
      <c r="K9" s="78">
        <f t="shared" si="1"/>
        <v>21168</v>
      </c>
      <c r="L9" s="46" t="s">
        <v>8</v>
      </c>
      <c r="M9" s="84">
        <v>21168</v>
      </c>
      <c r="N9" s="62"/>
      <c r="O9" s="74">
        <f>D9</f>
        <v>19687.504761904762</v>
      </c>
      <c r="P9" s="62"/>
      <c r="Q9" s="20">
        <f t="shared" si="2"/>
        <v>1008</v>
      </c>
      <c r="R9" s="20">
        <f t="shared" si="3"/>
        <v>984.37523809523918</v>
      </c>
      <c r="S9" s="9">
        <f t="shared" si="4"/>
        <v>23.624761904760817</v>
      </c>
      <c r="T9" s="9">
        <f t="shared" si="5"/>
        <v>472.49523809523816</v>
      </c>
    </row>
    <row r="10" spans="1:21" outlineLevel="1" x14ac:dyDescent="0.3">
      <c r="A10" t="s">
        <v>24</v>
      </c>
      <c r="B10" t="s">
        <v>18</v>
      </c>
      <c r="C10" s="47"/>
      <c r="D10" s="55">
        <f t="shared" si="6"/>
        <v>2163.8857142857141</v>
      </c>
      <c r="E10" s="45">
        <f t="shared" si="7"/>
        <v>108.1942857142858</v>
      </c>
      <c r="F10" s="69">
        <v>2272.08</v>
      </c>
      <c r="G10" s="89"/>
      <c r="H10" s="46"/>
      <c r="I10" s="51">
        <f>D10</f>
        <v>2163.8857142857141</v>
      </c>
      <c r="J10" s="51">
        <f t="shared" si="0"/>
        <v>108.19428571428571</v>
      </c>
      <c r="K10" s="78">
        <f t="shared" si="1"/>
        <v>2272.08</v>
      </c>
      <c r="L10" s="46" t="s">
        <v>29</v>
      </c>
      <c r="M10" s="84">
        <v>2272.08</v>
      </c>
      <c r="N10" s="62"/>
      <c r="O10" s="74">
        <v>2272.08</v>
      </c>
      <c r="P10" s="56">
        <v>42031</v>
      </c>
      <c r="Q10" s="20">
        <f t="shared" si="2"/>
        <v>108.19428571428571</v>
      </c>
      <c r="R10" s="20">
        <f t="shared" si="3"/>
        <v>108.1942857142858</v>
      </c>
      <c r="S10" s="9">
        <f t="shared" si="4"/>
        <v>0</v>
      </c>
      <c r="T10" s="9">
        <f t="shared" si="5"/>
        <v>0</v>
      </c>
    </row>
    <row r="11" spans="1:21" outlineLevel="1" x14ac:dyDescent="0.3">
      <c r="A11" t="s">
        <v>24</v>
      </c>
      <c r="B11" t="s">
        <v>15</v>
      </c>
      <c r="C11" s="47"/>
      <c r="D11" s="55">
        <f t="shared" si="6"/>
        <v>13200</v>
      </c>
      <c r="E11" s="45">
        <f t="shared" si="7"/>
        <v>660</v>
      </c>
      <c r="F11" s="69">
        <v>13860</v>
      </c>
      <c r="G11" s="89">
        <v>132</v>
      </c>
      <c r="H11" s="46"/>
      <c r="I11" s="51">
        <f>G11*103</f>
        <v>13596</v>
      </c>
      <c r="J11" s="51">
        <f t="shared" si="0"/>
        <v>679.80000000000007</v>
      </c>
      <c r="K11" s="78">
        <f t="shared" si="1"/>
        <v>14275.800000000001</v>
      </c>
      <c r="L11" s="46" t="s">
        <v>8</v>
      </c>
      <c r="M11" s="84">
        <v>14275.8</v>
      </c>
      <c r="N11" s="62"/>
      <c r="O11" s="74">
        <f>D11</f>
        <v>13200</v>
      </c>
      <c r="P11" s="62"/>
      <c r="Q11" s="20">
        <f t="shared" si="2"/>
        <v>679.80000000000007</v>
      </c>
      <c r="R11" s="20">
        <f t="shared" si="3"/>
        <v>660</v>
      </c>
      <c r="S11" s="9">
        <f t="shared" si="4"/>
        <v>19.800000000000068</v>
      </c>
      <c r="T11" s="9">
        <f t="shared" si="5"/>
        <v>396</v>
      </c>
    </row>
    <row r="12" spans="1:21" outlineLevel="1" x14ac:dyDescent="0.3">
      <c r="A12" t="s">
        <v>24</v>
      </c>
      <c r="B12" t="s">
        <v>9</v>
      </c>
      <c r="C12" s="47"/>
      <c r="D12" s="55">
        <f t="shared" si="6"/>
        <v>23500</v>
      </c>
      <c r="E12" s="45">
        <f t="shared" si="7"/>
        <v>1175</v>
      </c>
      <c r="F12" s="69">
        <v>24675</v>
      </c>
      <c r="G12" s="89">
        <v>188</v>
      </c>
      <c r="H12" s="46"/>
      <c r="I12" s="51">
        <f>G12*128</f>
        <v>24064</v>
      </c>
      <c r="J12" s="51">
        <f t="shared" si="0"/>
        <v>1203.2</v>
      </c>
      <c r="K12" s="78">
        <f t="shared" si="1"/>
        <v>25267.200000000001</v>
      </c>
      <c r="L12" s="46" t="s">
        <v>8</v>
      </c>
      <c r="M12" s="84">
        <v>25267.200000000001</v>
      </c>
      <c r="N12" s="62"/>
      <c r="O12" s="74">
        <f>10000+14675</f>
        <v>24675</v>
      </c>
      <c r="P12" s="62"/>
      <c r="Q12" s="20">
        <f t="shared" si="2"/>
        <v>1203.2</v>
      </c>
      <c r="R12" s="20">
        <f t="shared" si="3"/>
        <v>1175</v>
      </c>
      <c r="S12" s="9">
        <f t="shared" si="4"/>
        <v>28.200000000000045</v>
      </c>
      <c r="T12" s="9">
        <f t="shared" si="5"/>
        <v>564</v>
      </c>
    </row>
    <row r="13" spans="1:21" outlineLevel="1" x14ac:dyDescent="0.3">
      <c r="A13" s="41" t="s">
        <v>24</v>
      </c>
      <c r="B13" t="s">
        <v>17</v>
      </c>
      <c r="C13" s="47"/>
      <c r="D13" s="55">
        <f t="shared" si="6"/>
        <v>1976.8952380952378</v>
      </c>
      <c r="E13" s="45">
        <f t="shared" si="7"/>
        <v>98.844761904761981</v>
      </c>
      <c r="F13" s="69">
        <v>2075.7399999999998</v>
      </c>
      <c r="G13" s="89"/>
      <c r="H13" s="46"/>
      <c r="I13" s="51">
        <f>D13</f>
        <v>1976.8952380952378</v>
      </c>
      <c r="J13" s="51">
        <f t="shared" si="0"/>
        <v>98.844761904761896</v>
      </c>
      <c r="K13" s="78">
        <f t="shared" si="1"/>
        <v>2075.7399999999998</v>
      </c>
      <c r="L13" s="46" t="s">
        <v>31</v>
      </c>
      <c r="M13" s="85">
        <v>2237.4</v>
      </c>
      <c r="N13" s="62"/>
      <c r="O13" s="74">
        <v>2075.7399999999998</v>
      </c>
      <c r="P13" s="56">
        <v>42031</v>
      </c>
      <c r="Q13" s="20">
        <f t="shared" si="2"/>
        <v>98.844761904761896</v>
      </c>
      <c r="R13" s="20">
        <f t="shared" si="3"/>
        <v>98.844761904761981</v>
      </c>
      <c r="S13" s="9">
        <f t="shared" si="4"/>
        <v>0</v>
      </c>
      <c r="T13" s="68">
        <f>M13-O13</f>
        <v>161.66000000000031</v>
      </c>
    </row>
    <row r="14" spans="1:21" outlineLevel="1" x14ac:dyDescent="0.3">
      <c r="A14" t="s">
        <v>24</v>
      </c>
      <c r="B14" t="s">
        <v>16</v>
      </c>
      <c r="C14" s="47"/>
      <c r="D14" s="55">
        <f t="shared" si="6"/>
        <v>22041.999999999996</v>
      </c>
      <c r="E14" s="45">
        <f t="shared" si="7"/>
        <v>1102.1000000000022</v>
      </c>
      <c r="F14" s="69">
        <v>23144.1</v>
      </c>
      <c r="G14" s="89">
        <v>206</v>
      </c>
      <c r="H14" s="46"/>
      <c r="I14" s="51">
        <f>G14*110</f>
        <v>22660</v>
      </c>
      <c r="J14" s="51">
        <f t="shared" si="0"/>
        <v>1133</v>
      </c>
      <c r="K14" s="78">
        <f t="shared" si="1"/>
        <v>23793</v>
      </c>
      <c r="L14" s="46" t="s">
        <v>8</v>
      </c>
      <c r="M14" s="84">
        <v>23793</v>
      </c>
      <c r="N14" s="62"/>
      <c r="O14" s="75">
        <f>10000+13144.1</f>
        <v>23144.1</v>
      </c>
      <c r="P14" s="64"/>
      <c r="Q14" s="20">
        <f t="shared" si="2"/>
        <v>1133</v>
      </c>
      <c r="R14" s="20">
        <f t="shared" si="3"/>
        <v>1102.1000000000022</v>
      </c>
      <c r="S14" s="9">
        <f t="shared" si="4"/>
        <v>30.899999999997817</v>
      </c>
      <c r="T14" s="9">
        <f t="shared" si="5"/>
        <v>618.00000000000364</v>
      </c>
    </row>
    <row r="15" spans="1:21" x14ac:dyDescent="0.3">
      <c r="A15" s="5" t="s">
        <v>24</v>
      </c>
      <c r="B15" s="5" t="s">
        <v>25</v>
      </c>
      <c r="C15" s="48"/>
      <c r="D15" s="57">
        <f>SUM(D4:D14)</f>
        <v>187025.79047619048</v>
      </c>
      <c r="E15" s="49">
        <f t="shared" ref="E15:F15" si="8">SUM(E4:E14)</f>
        <v>8307.5895238095272</v>
      </c>
      <c r="F15" s="70">
        <f t="shared" si="8"/>
        <v>195333.38</v>
      </c>
      <c r="G15" s="67">
        <f>SUM(G3:G14)</f>
        <v>1630</v>
      </c>
      <c r="H15" s="50"/>
      <c r="I15" s="67"/>
      <c r="J15" s="67"/>
      <c r="K15" s="79"/>
      <c r="L15" s="50"/>
      <c r="M15" s="86">
        <f>SUM(M3:M14)</f>
        <v>235023.87</v>
      </c>
      <c r="N15" s="58"/>
      <c r="O15" s="76">
        <f>SUM(O3:O14)</f>
        <v>222509.50476190477</v>
      </c>
      <c r="P15" s="58"/>
      <c r="Q15" s="10">
        <f t="shared" ref="Q15:T15" si="9">SUM(Q3:Q14)</f>
        <v>11183.914285714287</v>
      </c>
      <c r="R15" s="10">
        <f t="shared" si="9"/>
        <v>8307.5895238095272</v>
      </c>
      <c r="S15" s="10">
        <f t="shared" si="9"/>
        <v>2876.3247619047588</v>
      </c>
      <c r="T15" s="10">
        <f t="shared" si="9"/>
        <v>5051.6552380952417</v>
      </c>
      <c r="U15" s="9"/>
    </row>
    <row r="16" spans="1:21" outlineLevel="1" x14ac:dyDescent="0.3">
      <c r="A16" t="s">
        <v>26</v>
      </c>
      <c r="B16" t="s">
        <v>28</v>
      </c>
      <c r="C16" s="47" t="s">
        <v>102</v>
      </c>
      <c r="D16" s="55">
        <f>147*175</f>
        <v>25725</v>
      </c>
      <c r="E16" s="45">
        <v>0</v>
      </c>
      <c r="F16" s="69">
        <v>25725</v>
      </c>
      <c r="G16" s="89">
        <v>147</v>
      </c>
      <c r="H16" s="46"/>
      <c r="I16" s="51">
        <f>G16*178</f>
        <v>26166</v>
      </c>
      <c r="J16" s="51">
        <f>I16*0.05</f>
        <v>1308.3000000000002</v>
      </c>
      <c r="K16" s="78">
        <v>27474.3</v>
      </c>
      <c r="L16" s="46" t="s">
        <v>30</v>
      </c>
      <c r="M16" s="87">
        <v>27474.3</v>
      </c>
      <c r="N16" s="63"/>
      <c r="O16" s="75">
        <v>25725</v>
      </c>
      <c r="P16" s="59">
        <v>42031</v>
      </c>
      <c r="Q16" s="20">
        <f>J16</f>
        <v>1308.3000000000002</v>
      </c>
      <c r="R16" s="20">
        <f>E16</f>
        <v>0</v>
      </c>
      <c r="S16" s="9">
        <f t="shared" ref="S16" si="10">Q16-R16</f>
        <v>1308.3000000000002</v>
      </c>
      <c r="T16" s="9">
        <f t="shared" si="5"/>
        <v>441</v>
      </c>
    </row>
    <row r="17" spans="1:20" outlineLevel="1" x14ac:dyDescent="0.3">
      <c r="A17" t="s">
        <v>26</v>
      </c>
      <c r="B17" t="s">
        <v>10</v>
      </c>
      <c r="C17" s="47" t="s">
        <v>110</v>
      </c>
      <c r="D17" s="55">
        <f>G17*147</f>
        <v>16353.75</v>
      </c>
      <c r="E17" s="45">
        <v>0</v>
      </c>
      <c r="F17" s="69">
        <v>16353.75</v>
      </c>
      <c r="G17" s="89">
        <v>111.25</v>
      </c>
      <c r="H17" s="46"/>
      <c r="I17" s="51">
        <f>G17*150</f>
        <v>16687.5</v>
      </c>
      <c r="J17" s="51">
        <f t="shared" ref="J17:J26" si="11">I17*0.05</f>
        <v>834.375</v>
      </c>
      <c r="K17" s="78">
        <f>I17+J17</f>
        <v>17521.875</v>
      </c>
      <c r="L17" s="46" t="s">
        <v>30</v>
      </c>
      <c r="M17" s="84">
        <v>17521.88</v>
      </c>
      <c r="N17" s="62"/>
      <c r="O17" s="74">
        <v>16353.75</v>
      </c>
      <c r="P17" s="56">
        <v>42037</v>
      </c>
      <c r="Q17" s="20">
        <f t="shared" ref="Q17:Q26" si="12">J17</f>
        <v>834.375</v>
      </c>
      <c r="R17" s="20">
        <f t="shared" ref="R17:R26" si="13">E17</f>
        <v>0</v>
      </c>
      <c r="S17" s="9">
        <f t="shared" ref="S17:S26" si="14">Q17-R17</f>
        <v>834.375</v>
      </c>
      <c r="T17" s="9">
        <f t="shared" si="5"/>
        <v>333.75</v>
      </c>
    </row>
    <row r="18" spans="1:20" outlineLevel="1" x14ac:dyDescent="0.3">
      <c r="A18" t="s">
        <v>26</v>
      </c>
      <c r="B18" t="s">
        <v>0</v>
      </c>
      <c r="C18" s="47" t="s">
        <v>103</v>
      </c>
      <c r="D18" s="44">
        <f>G18*140</f>
        <v>16310</v>
      </c>
      <c r="E18" s="51">
        <f>D18*0.05</f>
        <v>815.5</v>
      </c>
      <c r="F18" s="71">
        <v>17125.5</v>
      </c>
      <c r="G18" s="89">
        <v>116.5</v>
      </c>
      <c r="H18" s="46"/>
      <c r="I18" s="51">
        <f>G18*143</f>
        <v>16659.5</v>
      </c>
      <c r="J18" s="51">
        <f t="shared" si="11"/>
        <v>832.97500000000002</v>
      </c>
      <c r="K18" s="78">
        <v>17492.48</v>
      </c>
      <c r="L18" s="46" t="s">
        <v>30</v>
      </c>
      <c r="M18" s="87">
        <v>17492.48</v>
      </c>
      <c r="N18" s="63"/>
      <c r="O18" s="74">
        <v>17125.5</v>
      </c>
      <c r="P18" s="62"/>
      <c r="Q18" s="20">
        <f t="shared" si="12"/>
        <v>832.97500000000002</v>
      </c>
      <c r="R18" s="20">
        <f t="shared" si="13"/>
        <v>815.5</v>
      </c>
      <c r="S18" s="9">
        <f t="shared" si="14"/>
        <v>17.475000000000023</v>
      </c>
      <c r="T18" s="9">
        <f t="shared" si="5"/>
        <v>349.5</v>
      </c>
    </row>
    <row r="19" spans="1:20" outlineLevel="1" x14ac:dyDescent="0.3">
      <c r="A19" t="s">
        <v>26</v>
      </c>
      <c r="B19" t="s">
        <v>12</v>
      </c>
      <c r="C19" s="47" t="s">
        <v>104</v>
      </c>
      <c r="D19" s="44">
        <f>G19*130</f>
        <v>21385</v>
      </c>
      <c r="E19" s="51">
        <f>D19*0.05</f>
        <v>1069.25</v>
      </c>
      <c r="F19" s="71">
        <v>22454.25</v>
      </c>
      <c r="G19" s="89">
        <v>164.5</v>
      </c>
      <c r="H19" s="46"/>
      <c r="I19" s="51">
        <f>G19*133</f>
        <v>21878.5</v>
      </c>
      <c r="J19" s="51">
        <f t="shared" si="11"/>
        <v>1093.925</v>
      </c>
      <c r="K19" s="78">
        <v>22972.43</v>
      </c>
      <c r="L19" s="46" t="s">
        <v>30</v>
      </c>
      <c r="M19" s="87">
        <v>22972.43</v>
      </c>
      <c r="N19" s="63"/>
      <c r="O19" s="74">
        <v>22454.25</v>
      </c>
      <c r="P19" s="62"/>
      <c r="Q19" s="20">
        <f t="shared" si="12"/>
        <v>1093.925</v>
      </c>
      <c r="R19" s="20">
        <f t="shared" si="13"/>
        <v>1069.25</v>
      </c>
      <c r="S19" s="9">
        <f t="shared" si="14"/>
        <v>24.674999999999955</v>
      </c>
      <c r="T19" s="9">
        <f t="shared" si="5"/>
        <v>493.5</v>
      </c>
    </row>
    <row r="20" spans="1:20" outlineLevel="1" x14ac:dyDescent="0.3">
      <c r="A20" t="s">
        <v>26</v>
      </c>
      <c r="B20" t="s">
        <v>19</v>
      </c>
      <c r="C20" s="47" t="s">
        <v>105</v>
      </c>
      <c r="D20" s="44">
        <f t="shared" ref="D20" si="15">F20/1.05</f>
        <v>1707.047619047619</v>
      </c>
      <c r="E20" s="51">
        <f t="shared" ref="E20:E26" si="16">D20*0.05</f>
        <v>85.352380952380955</v>
      </c>
      <c r="F20" s="69">
        <v>1792.4</v>
      </c>
      <c r="G20" s="89"/>
      <c r="H20" s="46"/>
      <c r="I20" s="51">
        <f>D20</f>
        <v>1707.047619047619</v>
      </c>
      <c r="J20" s="51">
        <f t="shared" si="11"/>
        <v>85.352380952380955</v>
      </c>
      <c r="K20" s="78">
        <v>1792.4</v>
      </c>
      <c r="L20" s="46" t="s">
        <v>29</v>
      </c>
      <c r="M20" s="87">
        <v>1792.4</v>
      </c>
      <c r="N20" s="63"/>
      <c r="O20" s="74">
        <v>1792.4</v>
      </c>
      <c r="P20" s="56">
        <v>42031</v>
      </c>
      <c r="Q20" s="20">
        <f t="shared" si="12"/>
        <v>85.352380952380955</v>
      </c>
      <c r="R20" s="20">
        <f t="shared" si="13"/>
        <v>85.352380952380955</v>
      </c>
      <c r="S20" s="9">
        <f t="shared" si="14"/>
        <v>0</v>
      </c>
      <c r="T20" s="9">
        <f t="shared" si="5"/>
        <v>0</v>
      </c>
    </row>
    <row r="21" spans="1:20" outlineLevel="1" x14ac:dyDescent="0.3">
      <c r="A21" t="s">
        <v>26</v>
      </c>
      <c r="B21" t="s">
        <v>13</v>
      </c>
      <c r="C21" s="47" t="s">
        <v>107</v>
      </c>
      <c r="D21" s="44">
        <f>G21*125</f>
        <v>21875</v>
      </c>
      <c r="E21" s="51">
        <f t="shared" si="16"/>
        <v>1093.75</v>
      </c>
      <c r="F21" s="69">
        <v>22968.75</v>
      </c>
      <c r="G21" s="92">
        <v>175</v>
      </c>
      <c r="H21" s="52"/>
      <c r="I21" s="45">
        <f>G21*128</f>
        <v>22400</v>
      </c>
      <c r="J21" s="51">
        <f t="shared" si="11"/>
        <v>1120</v>
      </c>
      <c r="K21" s="80">
        <v>23520</v>
      </c>
      <c r="L21" s="56">
        <v>42015</v>
      </c>
      <c r="M21" s="87">
        <v>23520</v>
      </c>
      <c r="N21" s="63"/>
      <c r="O21" s="74">
        <v>22968.75</v>
      </c>
      <c r="P21" s="62"/>
      <c r="Q21" s="20">
        <f t="shared" si="12"/>
        <v>1120</v>
      </c>
      <c r="R21" s="20">
        <f t="shared" si="13"/>
        <v>1093.75</v>
      </c>
      <c r="S21" s="9">
        <f t="shared" si="14"/>
        <v>26.25</v>
      </c>
      <c r="T21" s="9">
        <f t="shared" si="5"/>
        <v>525</v>
      </c>
    </row>
    <row r="22" spans="1:20" outlineLevel="1" x14ac:dyDescent="0.3">
      <c r="A22" t="s">
        <v>26</v>
      </c>
      <c r="B22" t="s">
        <v>14</v>
      </c>
      <c r="C22" s="47" t="s">
        <v>108</v>
      </c>
      <c r="D22" s="44">
        <f>G22*125</f>
        <v>13875</v>
      </c>
      <c r="E22" s="51">
        <f t="shared" si="16"/>
        <v>693.75</v>
      </c>
      <c r="F22" s="71">
        <v>14568.75</v>
      </c>
      <c r="G22" s="89">
        <v>111</v>
      </c>
      <c r="H22" s="46"/>
      <c r="I22" s="51">
        <f>G22*128</f>
        <v>14208</v>
      </c>
      <c r="J22" s="51">
        <f t="shared" si="11"/>
        <v>710.40000000000009</v>
      </c>
      <c r="K22" s="78">
        <v>14918.4</v>
      </c>
      <c r="L22" s="46" t="s">
        <v>30</v>
      </c>
      <c r="M22" s="87">
        <v>14918.4</v>
      </c>
      <c r="N22" s="63"/>
      <c r="O22" s="74">
        <v>14568.75</v>
      </c>
      <c r="P22" s="62"/>
      <c r="Q22" s="20">
        <f t="shared" si="12"/>
        <v>710.40000000000009</v>
      </c>
      <c r="R22" s="20">
        <f t="shared" si="13"/>
        <v>693.75</v>
      </c>
      <c r="S22" s="9">
        <f t="shared" si="14"/>
        <v>16.650000000000091</v>
      </c>
      <c r="T22" s="9">
        <f t="shared" si="5"/>
        <v>333</v>
      </c>
    </row>
    <row r="23" spans="1:20" outlineLevel="1" x14ac:dyDescent="0.3">
      <c r="A23" t="s">
        <v>26</v>
      </c>
      <c r="B23" t="s">
        <v>15</v>
      </c>
      <c r="C23" s="47" t="s">
        <v>106</v>
      </c>
      <c r="D23" s="44">
        <f>G23*100</f>
        <v>16000</v>
      </c>
      <c r="E23" s="51">
        <f t="shared" si="16"/>
        <v>800</v>
      </c>
      <c r="F23" s="71">
        <v>16800</v>
      </c>
      <c r="G23" s="89">
        <v>160</v>
      </c>
      <c r="H23" s="46"/>
      <c r="I23" s="51">
        <f>G23*103</f>
        <v>16480</v>
      </c>
      <c r="J23" s="51">
        <f t="shared" si="11"/>
        <v>824</v>
      </c>
      <c r="K23" s="78">
        <v>17304</v>
      </c>
      <c r="L23" s="46" t="s">
        <v>30</v>
      </c>
      <c r="M23" s="87">
        <v>17304</v>
      </c>
      <c r="N23" s="63"/>
      <c r="O23" s="74">
        <v>16800</v>
      </c>
      <c r="P23" s="62"/>
      <c r="Q23" s="20">
        <f t="shared" si="12"/>
        <v>824</v>
      </c>
      <c r="R23" s="20">
        <f t="shared" si="13"/>
        <v>800</v>
      </c>
      <c r="S23" s="9">
        <f t="shared" si="14"/>
        <v>24</v>
      </c>
      <c r="T23" s="9">
        <f t="shared" si="5"/>
        <v>480</v>
      </c>
    </row>
    <row r="24" spans="1:20" outlineLevel="1" x14ac:dyDescent="0.3">
      <c r="A24" t="s">
        <v>26</v>
      </c>
      <c r="B24" t="s">
        <v>9</v>
      </c>
      <c r="C24" s="47"/>
      <c r="D24" s="44">
        <f>125*G24</f>
        <v>18500</v>
      </c>
      <c r="E24" s="51">
        <f t="shared" si="16"/>
        <v>925</v>
      </c>
      <c r="F24" s="71">
        <v>19425</v>
      </c>
      <c r="G24" s="89">
        <v>148</v>
      </c>
      <c r="H24" s="46"/>
      <c r="I24" s="51">
        <f>G24*128</f>
        <v>18944</v>
      </c>
      <c r="J24" s="51">
        <f t="shared" si="11"/>
        <v>947.2</v>
      </c>
      <c r="K24" s="78">
        <v>19891.2</v>
      </c>
      <c r="L24" s="46" t="s">
        <v>30</v>
      </c>
      <c r="M24" s="88">
        <v>19891.2</v>
      </c>
      <c r="N24" s="64"/>
      <c r="O24" s="75">
        <v>19425</v>
      </c>
      <c r="P24" s="64"/>
      <c r="Q24" s="20">
        <f t="shared" si="12"/>
        <v>947.2</v>
      </c>
      <c r="R24" s="20">
        <f t="shared" si="13"/>
        <v>925</v>
      </c>
      <c r="S24" s="9">
        <f t="shared" si="14"/>
        <v>22.200000000000045</v>
      </c>
      <c r="T24" s="9">
        <f t="shared" si="5"/>
        <v>444</v>
      </c>
    </row>
    <row r="25" spans="1:20" outlineLevel="1" x14ac:dyDescent="0.3">
      <c r="A25" t="s">
        <v>26</v>
      </c>
      <c r="B25" t="s">
        <v>17</v>
      </c>
      <c r="C25" s="47"/>
      <c r="D25" s="44">
        <f t="shared" ref="D25" si="17">F25/1.05</f>
        <v>0</v>
      </c>
      <c r="E25" s="51">
        <f t="shared" si="16"/>
        <v>0</v>
      </c>
      <c r="F25" s="71">
        <v>0</v>
      </c>
      <c r="G25" s="89"/>
      <c r="H25" s="46"/>
      <c r="I25" s="51"/>
      <c r="J25" s="51">
        <f t="shared" si="11"/>
        <v>0</v>
      </c>
      <c r="K25" s="78"/>
      <c r="L25" s="46"/>
      <c r="M25" s="88"/>
      <c r="N25" s="64"/>
      <c r="O25" s="75"/>
      <c r="P25" s="64"/>
      <c r="Q25" s="20">
        <f t="shared" si="12"/>
        <v>0</v>
      </c>
      <c r="R25" s="20">
        <f t="shared" si="13"/>
        <v>0</v>
      </c>
      <c r="S25" s="9">
        <f t="shared" si="14"/>
        <v>0</v>
      </c>
      <c r="T25" s="9">
        <f t="shared" si="5"/>
        <v>0</v>
      </c>
    </row>
    <row r="26" spans="1:20" outlineLevel="1" x14ac:dyDescent="0.3">
      <c r="A26" t="s">
        <v>26</v>
      </c>
      <c r="B26" t="s">
        <v>16</v>
      </c>
      <c r="C26" s="47"/>
      <c r="D26" s="44">
        <f>107*G26</f>
        <v>16799</v>
      </c>
      <c r="E26" s="51">
        <f t="shared" si="16"/>
        <v>839.95</v>
      </c>
      <c r="F26" s="71">
        <v>17638.95</v>
      </c>
      <c r="G26" s="89">
        <v>157</v>
      </c>
      <c r="H26" s="46"/>
      <c r="I26" s="51">
        <f>G26*110</f>
        <v>17270</v>
      </c>
      <c r="J26" s="51">
        <f t="shared" si="11"/>
        <v>863.5</v>
      </c>
      <c r="K26" s="78">
        <v>18133.5</v>
      </c>
      <c r="L26" s="46" t="s">
        <v>30</v>
      </c>
      <c r="M26" s="88">
        <v>18133.5</v>
      </c>
      <c r="N26" s="64"/>
      <c r="O26" s="75">
        <v>17638.95</v>
      </c>
      <c r="P26" s="64"/>
      <c r="Q26" s="20">
        <f t="shared" si="12"/>
        <v>863.5</v>
      </c>
      <c r="R26" s="20">
        <f t="shared" si="13"/>
        <v>839.95</v>
      </c>
      <c r="S26" s="9">
        <f t="shared" si="14"/>
        <v>23.549999999999955</v>
      </c>
      <c r="T26" s="9">
        <f t="shared" si="5"/>
        <v>471</v>
      </c>
    </row>
    <row r="27" spans="1:20" x14ac:dyDescent="0.3">
      <c r="A27" s="5" t="s">
        <v>27</v>
      </c>
      <c r="B27" s="5" t="s">
        <v>25</v>
      </c>
      <c r="C27" s="48"/>
      <c r="D27" s="57">
        <f t="shared" ref="D27:K27" si="18">SUM(D16:D26)</f>
        <v>168529.79761904763</v>
      </c>
      <c r="E27" s="49">
        <f t="shared" si="18"/>
        <v>6322.5523809523811</v>
      </c>
      <c r="F27" s="70">
        <f t="shared" si="18"/>
        <v>174852.35</v>
      </c>
      <c r="G27" s="67">
        <f t="shared" si="18"/>
        <v>1290.25</v>
      </c>
      <c r="H27" s="50"/>
      <c r="I27" s="49">
        <f t="shared" si="18"/>
        <v>172400.54761904763</v>
      </c>
      <c r="J27" s="49">
        <f t="shared" si="18"/>
        <v>8620.0273809523824</v>
      </c>
      <c r="K27" s="81">
        <f t="shared" si="18"/>
        <v>181020.58499999999</v>
      </c>
      <c r="L27" s="58"/>
      <c r="M27" s="86">
        <f>SUM(M16:M26)</f>
        <v>181020.59</v>
      </c>
      <c r="N27" s="58"/>
      <c r="O27" s="76">
        <f>SUM(O16:O26)</f>
        <v>174852.35</v>
      </c>
      <c r="P27" s="58"/>
      <c r="Q27" s="10">
        <f>SUM(Q16:Q26)</f>
        <v>8620.0273809523824</v>
      </c>
      <c r="R27" s="10">
        <f>SUM(R16:R26)</f>
        <v>6322.5523809523811</v>
      </c>
      <c r="S27" s="10">
        <f>SUM(S16:S26)</f>
        <v>2297.4750000000004</v>
      </c>
      <c r="T27" s="10">
        <f>SUM(T16:T26)</f>
        <v>3870.75</v>
      </c>
    </row>
    <row r="28" spans="1:20" outlineLevel="1" x14ac:dyDescent="0.3">
      <c r="A28" t="s">
        <v>100</v>
      </c>
      <c r="B28" t="s">
        <v>28</v>
      </c>
      <c r="C28" s="47" t="s">
        <v>111</v>
      </c>
      <c r="D28" s="44">
        <f>194.5*175</f>
        <v>34037.5</v>
      </c>
      <c r="E28" s="51">
        <v>0</v>
      </c>
      <c r="F28" s="71">
        <f>D28+E28</f>
        <v>34037.5</v>
      </c>
      <c r="G28" s="89">
        <v>194.5</v>
      </c>
      <c r="H28" s="46"/>
      <c r="I28" s="51">
        <f>G28*178</f>
        <v>34621</v>
      </c>
      <c r="J28" s="51">
        <f>I28*0.05</f>
        <v>1731.0500000000002</v>
      </c>
      <c r="K28" s="78">
        <f>J28+I28</f>
        <v>36352.050000000003</v>
      </c>
      <c r="L28" s="59">
        <v>42038</v>
      </c>
      <c r="M28" s="88">
        <v>36352.050000000003</v>
      </c>
      <c r="N28" s="59">
        <v>42048</v>
      </c>
      <c r="O28" s="75">
        <v>34037.5</v>
      </c>
      <c r="P28" s="59">
        <v>42065</v>
      </c>
      <c r="Q28" s="20">
        <f>J28</f>
        <v>1731.0500000000002</v>
      </c>
      <c r="R28" s="20">
        <f>E28</f>
        <v>0</v>
      </c>
      <c r="S28" s="9">
        <f>Q28-R28</f>
        <v>1731.0500000000002</v>
      </c>
      <c r="T28" s="9">
        <f>I28-D28</f>
        <v>583.5</v>
      </c>
    </row>
    <row r="29" spans="1:20" outlineLevel="1" x14ac:dyDescent="0.3">
      <c r="A29" t="s">
        <v>100</v>
      </c>
      <c r="B29" t="s">
        <v>10</v>
      </c>
      <c r="C29" s="47" t="s">
        <v>169</v>
      </c>
      <c r="D29" s="44">
        <v>27396.25</v>
      </c>
      <c r="E29" s="51">
        <v>0</v>
      </c>
      <c r="F29" s="71">
        <f t="shared" ref="F29:F39" si="19">D29+E29</f>
        <v>27396.25</v>
      </c>
      <c r="G29" s="89">
        <v>191.25</v>
      </c>
      <c r="H29" s="46"/>
      <c r="I29" s="51">
        <f>(119.5*150+71.75*140)</f>
        <v>27970</v>
      </c>
      <c r="J29" s="51">
        <f>I29*0.05</f>
        <v>1398.5</v>
      </c>
      <c r="K29" s="78">
        <f>J29+I29</f>
        <v>29368.5</v>
      </c>
      <c r="L29" s="59">
        <v>42037</v>
      </c>
      <c r="M29" s="88">
        <v>29368.5</v>
      </c>
      <c r="N29" s="59">
        <v>42062</v>
      </c>
      <c r="O29" s="75">
        <v>27936.25</v>
      </c>
      <c r="P29" s="59">
        <v>42067</v>
      </c>
      <c r="Q29" s="20">
        <f t="shared" ref="Q29:Q39" si="20">J29</f>
        <v>1398.5</v>
      </c>
      <c r="R29" s="20">
        <f t="shared" ref="R29:R39" si="21">E29</f>
        <v>0</v>
      </c>
      <c r="S29" s="9">
        <f t="shared" ref="S29:S30" si="22">Q29-R29</f>
        <v>1398.5</v>
      </c>
      <c r="T29" s="9">
        <f t="shared" ref="T29:T39" si="23">I29-D29</f>
        <v>573.75</v>
      </c>
    </row>
    <row r="30" spans="1:20" outlineLevel="1" x14ac:dyDescent="0.3">
      <c r="A30" t="s">
        <v>100</v>
      </c>
      <c r="B30" t="s">
        <v>0</v>
      </c>
      <c r="C30" s="47" t="s">
        <v>112</v>
      </c>
      <c r="D30" s="44">
        <f>202*140</f>
        <v>28280</v>
      </c>
      <c r="E30" s="51">
        <f t="shared" ref="E30:E39" si="24">D30*0.05</f>
        <v>1414</v>
      </c>
      <c r="F30" s="71">
        <f t="shared" si="19"/>
        <v>29694</v>
      </c>
      <c r="G30" s="89">
        <v>202</v>
      </c>
      <c r="H30" s="46"/>
      <c r="I30" s="51">
        <f>G30*143</f>
        <v>28886</v>
      </c>
      <c r="J30" s="51">
        <f>I30*0.05</f>
        <v>1444.3000000000002</v>
      </c>
      <c r="K30" s="78">
        <f t="shared" ref="K30:K39" si="25">J30+I30</f>
        <v>30330.3</v>
      </c>
      <c r="L30" s="59">
        <v>42038</v>
      </c>
      <c r="M30" s="88">
        <v>30330.3</v>
      </c>
      <c r="N30" s="59">
        <v>42048</v>
      </c>
      <c r="O30" s="75">
        <v>29694</v>
      </c>
      <c r="P30" s="59">
        <v>42058</v>
      </c>
      <c r="Q30" s="20">
        <f t="shared" si="20"/>
        <v>1444.3000000000002</v>
      </c>
      <c r="R30" s="20">
        <f t="shared" si="21"/>
        <v>1414</v>
      </c>
      <c r="S30" s="9">
        <f t="shared" si="22"/>
        <v>30.300000000000182</v>
      </c>
      <c r="T30" s="9">
        <f t="shared" si="23"/>
        <v>606</v>
      </c>
    </row>
    <row r="31" spans="1:20" outlineLevel="1" x14ac:dyDescent="0.3">
      <c r="A31" t="s">
        <v>100</v>
      </c>
      <c r="B31" t="s">
        <v>12</v>
      </c>
      <c r="C31" s="47" t="s">
        <v>115</v>
      </c>
      <c r="D31" s="44">
        <f>G31*130</f>
        <v>32045</v>
      </c>
      <c r="E31" s="51">
        <f t="shared" si="24"/>
        <v>1602.25</v>
      </c>
      <c r="F31" s="71">
        <f t="shared" si="19"/>
        <v>33647.25</v>
      </c>
      <c r="G31" s="89">
        <v>246.5</v>
      </c>
      <c r="H31" s="46"/>
      <c r="I31" s="51">
        <f>G31*133</f>
        <v>32784.5</v>
      </c>
      <c r="J31" s="51">
        <f t="shared" ref="J31:J39" si="26">I31*0.05</f>
        <v>1639.2250000000001</v>
      </c>
      <c r="K31" s="78">
        <f t="shared" si="25"/>
        <v>34423.724999999999</v>
      </c>
      <c r="L31" s="59">
        <v>42038</v>
      </c>
      <c r="M31" s="88">
        <v>34423.730000000003</v>
      </c>
      <c r="N31" s="59">
        <v>42054</v>
      </c>
      <c r="O31" s="75">
        <v>33647.25</v>
      </c>
      <c r="P31" s="59">
        <v>42058</v>
      </c>
      <c r="Q31" s="20">
        <f t="shared" si="20"/>
        <v>1639.2250000000001</v>
      </c>
      <c r="R31" s="20">
        <f t="shared" si="21"/>
        <v>1602.25</v>
      </c>
      <c r="S31" s="9">
        <f t="shared" ref="S31:S39" si="27">Q31-R31</f>
        <v>36.975000000000136</v>
      </c>
      <c r="T31" s="9">
        <f t="shared" si="23"/>
        <v>739.5</v>
      </c>
    </row>
    <row r="32" spans="1:20" outlineLevel="1" x14ac:dyDescent="0.3">
      <c r="A32" t="s">
        <v>100</v>
      </c>
      <c r="B32" t="s">
        <v>19</v>
      </c>
      <c r="C32" s="47" t="s">
        <v>118</v>
      </c>
      <c r="D32" s="44">
        <f>2507.83/1.05</f>
        <v>2388.4095238095238</v>
      </c>
      <c r="E32" s="51">
        <f t="shared" si="24"/>
        <v>119.42047619047619</v>
      </c>
      <c r="F32" s="71">
        <f t="shared" si="19"/>
        <v>2507.83</v>
      </c>
      <c r="G32" s="89" t="s">
        <v>119</v>
      </c>
      <c r="H32" s="46"/>
      <c r="I32" s="51">
        <f>2507.83/1.05</f>
        <v>2388.4095238095238</v>
      </c>
      <c r="J32" s="51">
        <f t="shared" si="26"/>
        <v>119.42047619047619</v>
      </c>
      <c r="K32" s="78">
        <f t="shared" si="25"/>
        <v>2507.83</v>
      </c>
      <c r="L32" s="59">
        <v>42038</v>
      </c>
      <c r="M32" s="88">
        <v>2507.83</v>
      </c>
      <c r="N32" s="59">
        <v>42048</v>
      </c>
      <c r="O32" s="75">
        <v>2507.83</v>
      </c>
      <c r="P32" s="59">
        <v>42058</v>
      </c>
      <c r="Q32" s="20">
        <f t="shared" si="20"/>
        <v>119.42047619047619</v>
      </c>
      <c r="R32" s="20">
        <f t="shared" si="21"/>
        <v>119.42047619047619</v>
      </c>
      <c r="S32" s="9">
        <f t="shared" si="27"/>
        <v>0</v>
      </c>
      <c r="T32" s="9">
        <f t="shared" si="23"/>
        <v>0</v>
      </c>
    </row>
    <row r="33" spans="1:20" outlineLevel="1" x14ac:dyDescent="0.3">
      <c r="A33" t="s">
        <v>100</v>
      </c>
      <c r="B33" t="s">
        <v>13</v>
      </c>
      <c r="C33" s="47" t="s">
        <v>116</v>
      </c>
      <c r="D33" s="55">
        <f>125*G33</f>
        <v>27750</v>
      </c>
      <c r="E33" s="51">
        <f t="shared" si="24"/>
        <v>1387.5</v>
      </c>
      <c r="F33" s="71">
        <f t="shared" si="19"/>
        <v>29137.5</v>
      </c>
      <c r="G33" s="92">
        <v>222</v>
      </c>
      <c r="H33" s="52"/>
      <c r="I33" s="45">
        <f>128*G33</f>
        <v>28416</v>
      </c>
      <c r="J33" s="51">
        <f t="shared" si="26"/>
        <v>1420.8000000000002</v>
      </c>
      <c r="K33" s="78">
        <f t="shared" si="25"/>
        <v>29836.799999999999</v>
      </c>
      <c r="L33" s="56">
        <v>42038</v>
      </c>
      <c r="M33" s="88">
        <v>29836.799999999999</v>
      </c>
      <c r="N33" s="59">
        <v>42048</v>
      </c>
      <c r="O33" s="75">
        <v>29137.5</v>
      </c>
      <c r="P33" s="59">
        <v>42058</v>
      </c>
      <c r="Q33" s="20">
        <f t="shared" si="20"/>
        <v>1420.8000000000002</v>
      </c>
      <c r="R33" s="20">
        <f t="shared" si="21"/>
        <v>1387.5</v>
      </c>
      <c r="S33" s="9">
        <f t="shared" si="27"/>
        <v>33.300000000000182</v>
      </c>
      <c r="T33" s="9">
        <f t="shared" si="23"/>
        <v>666</v>
      </c>
    </row>
    <row r="34" spans="1:20" outlineLevel="1" x14ac:dyDescent="0.3">
      <c r="A34" t="s">
        <v>100</v>
      </c>
      <c r="B34" t="s">
        <v>14</v>
      </c>
      <c r="C34" s="47" t="s">
        <v>113</v>
      </c>
      <c r="D34" s="44">
        <f>125*160.5</f>
        <v>20062.5</v>
      </c>
      <c r="E34" s="51">
        <f t="shared" si="24"/>
        <v>1003.125</v>
      </c>
      <c r="F34" s="71">
        <f t="shared" si="19"/>
        <v>21065.625</v>
      </c>
      <c r="G34" s="89">
        <v>160.5</v>
      </c>
      <c r="H34" s="46"/>
      <c r="I34" s="51">
        <f>128*G34</f>
        <v>20544</v>
      </c>
      <c r="J34" s="51">
        <f t="shared" si="26"/>
        <v>1027.2</v>
      </c>
      <c r="K34" s="78">
        <f t="shared" si="25"/>
        <v>21571.200000000001</v>
      </c>
      <c r="L34" s="59">
        <v>42038</v>
      </c>
      <c r="M34" s="88">
        <v>21571.200000000001</v>
      </c>
      <c r="N34" s="59">
        <v>42058</v>
      </c>
      <c r="O34" s="75">
        <v>21065.63</v>
      </c>
      <c r="P34" s="59">
        <v>42058</v>
      </c>
      <c r="Q34" s="20">
        <f t="shared" si="20"/>
        <v>1027.2</v>
      </c>
      <c r="R34" s="20">
        <f t="shared" si="21"/>
        <v>1003.125</v>
      </c>
      <c r="S34" s="9">
        <f t="shared" si="27"/>
        <v>24.075000000000045</v>
      </c>
      <c r="T34" s="9">
        <f t="shared" si="23"/>
        <v>481.5</v>
      </c>
    </row>
    <row r="35" spans="1:20" outlineLevel="1" x14ac:dyDescent="0.3">
      <c r="A35" t="s">
        <v>100</v>
      </c>
      <c r="B35" t="s">
        <v>18</v>
      </c>
      <c r="C35" s="47" t="s">
        <v>120</v>
      </c>
      <c r="D35" s="44">
        <f>2010.53/1.05</f>
        <v>1914.7904761904761</v>
      </c>
      <c r="E35" s="51">
        <f t="shared" si="24"/>
        <v>95.739523809523803</v>
      </c>
      <c r="F35" s="71">
        <f t="shared" si="19"/>
        <v>2010.5299999999997</v>
      </c>
      <c r="G35" s="89" t="s">
        <v>119</v>
      </c>
      <c r="H35" s="46"/>
      <c r="I35" s="51">
        <f>2010.53/1.05</f>
        <v>1914.7904761904761</v>
      </c>
      <c r="J35" s="51">
        <f t="shared" si="26"/>
        <v>95.739523809523803</v>
      </c>
      <c r="K35" s="78">
        <f t="shared" si="25"/>
        <v>2010.5299999999997</v>
      </c>
      <c r="L35" s="59">
        <v>42038</v>
      </c>
      <c r="M35" s="88">
        <v>2010.53</v>
      </c>
      <c r="N35" s="59">
        <v>42055</v>
      </c>
      <c r="O35" s="75">
        <v>2010.53</v>
      </c>
      <c r="P35" s="59">
        <v>42058</v>
      </c>
      <c r="Q35" s="20">
        <f t="shared" si="20"/>
        <v>95.739523809523803</v>
      </c>
      <c r="R35" s="20">
        <f t="shared" si="21"/>
        <v>95.739523809523803</v>
      </c>
      <c r="S35" s="9">
        <f t="shared" si="27"/>
        <v>0</v>
      </c>
      <c r="T35" s="9">
        <f t="shared" si="23"/>
        <v>0</v>
      </c>
    </row>
    <row r="36" spans="1:20" outlineLevel="1" x14ac:dyDescent="0.3">
      <c r="A36" t="s">
        <v>100</v>
      </c>
      <c r="B36" t="s">
        <v>15</v>
      </c>
      <c r="C36" s="53" t="s">
        <v>123</v>
      </c>
      <c r="D36" s="55">
        <f>100*G36</f>
        <v>9700</v>
      </c>
      <c r="E36" s="51">
        <f t="shared" si="24"/>
        <v>485</v>
      </c>
      <c r="F36" s="71">
        <f t="shared" si="19"/>
        <v>10185</v>
      </c>
      <c r="G36" s="89">
        <v>97</v>
      </c>
      <c r="H36" s="46"/>
      <c r="I36" s="51">
        <f>G36*103</f>
        <v>9991</v>
      </c>
      <c r="J36" s="51">
        <f t="shared" si="26"/>
        <v>499.55</v>
      </c>
      <c r="K36" s="78">
        <f t="shared" si="25"/>
        <v>10490.55</v>
      </c>
      <c r="L36" s="59">
        <v>42024</v>
      </c>
      <c r="M36" s="88">
        <v>10490.55</v>
      </c>
      <c r="N36" s="59">
        <v>42034</v>
      </c>
      <c r="O36" s="75">
        <v>10185</v>
      </c>
      <c r="P36" s="59">
        <v>42037</v>
      </c>
      <c r="Q36" s="20">
        <f t="shared" si="20"/>
        <v>499.55</v>
      </c>
      <c r="R36" s="20">
        <f t="shared" si="21"/>
        <v>485</v>
      </c>
      <c r="S36" s="9">
        <f t="shared" si="27"/>
        <v>14.550000000000011</v>
      </c>
      <c r="T36" s="9">
        <f t="shared" si="23"/>
        <v>291</v>
      </c>
    </row>
    <row r="37" spans="1:20" outlineLevel="1" x14ac:dyDescent="0.3">
      <c r="A37" t="s">
        <v>100</v>
      </c>
      <c r="B37" t="s">
        <v>15</v>
      </c>
      <c r="C37" s="47" t="s">
        <v>122</v>
      </c>
      <c r="D37" s="44">
        <f>80*100</f>
        <v>8000</v>
      </c>
      <c r="E37" s="51">
        <f t="shared" si="24"/>
        <v>400</v>
      </c>
      <c r="F37" s="71">
        <f t="shared" si="19"/>
        <v>8400</v>
      </c>
      <c r="G37" s="89">
        <v>160</v>
      </c>
      <c r="H37" s="46"/>
      <c r="I37" s="51">
        <f>103*80</f>
        <v>8240</v>
      </c>
      <c r="J37" s="51">
        <f t="shared" si="26"/>
        <v>412</v>
      </c>
      <c r="K37" s="78">
        <f t="shared" si="25"/>
        <v>8652</v>
      </c>
      <c r="L37" s="59">
        <v>42040</v>
      </c>
      <c r="M37" s="88">
        <v>8652</v>
      </c>
      <c r="N37" s="59">
        <v>42054</v>
      </c>
      <c r="O37" s="75">
        <v>8400</v>
      </c>
      <c r="P37" s="59">
        <v>42058</v>
      </c>
      <c r="Q37" s="20">
        <f t="shared" si="20"/>
        <v>412</v>
      </c>
      <c r="R37" s="20">
        <f t="shared" si="21"/>
        <v>400</v>
      </c>
      <c r="S37" s="9">
        <f t="shared" si="27"/>
        <v>12</v>
      </c>
      <c r="T37" s="9">
        <f t="shared" si="23"/>
        <v>240</v>
      </c>
    </row>
    <row r="38" spans="1:20" outlineLevel="1" x14ac:dyDescent="0.3">
      <c r="A38" t="s">
        <v>100</v>
      </c>
      <c r="B38" t="s">
        <v>9</v>
      </c>
      <c r="C38" s="47" t="s">
        <v>117</v>
      </c>
      <c r="D38" s="44">
        <f>125*212</f>
        <v>26500</v>
      </c>
      <c r="E38" s="51">
        <f t="shared" si="24"/>
        <v>1325</v>
      </c>
      <c r="F38" s="71">
        <f t="shared" si="19"/>
        <v>27825</v>
      </c>
      <c r="G38" s="89">
        <v>212</v>
      </c>
      <c r="H38" s="46"/>
      <c r="I38" s="51">
        <f>G38*128</f>
        <v>27136</v>
      </c>
      <c r="J38" s="51">
        <f t="shared" si="26"/>
        <v>1356.8000000000002</v>
      </c>
      <c r="K38" s="78">
        <f t="shared" si="25"/>
        <v>28492.799999999999</v>
      </c>
      <c r="L38" s="59">
        <v>42040</v>
      </c>
      <c r="M38" s="88">
        <v>28492.799999999999</v>
      </c>
      <c r="N38" s="59">
        <v>42048</v>
      </c>
      <c r="O38" s="75">
        <v>27825</v>
      </c>
      <c r="P38" s="59">
        <v>42058</v>
      </c>
      <c r="Q38" s="20">
        <f t="shared" si="20"/>
        <v>1356.8000000000002</v>
      </c>
      <c r="R38" s="20">
        <f t="shared" si="21"/>
        <v>1325</v>
      </c>
      <c r="S38" s="9">
        <f t="shared" si="27"/>
        <v>31.800000000000182</v>
      </c>
      <c r="T38" s="9">
        <f t="shared" si="23"/>
        <v>636</v>
      </c>
    </row>
    <row r="39" spans="1:20" outlineLevel="1" x14ac:dyDescent="0.3">
      <c r="A39" t="s">
        <v>100</v>
      </c>
      <c r="B39" t="s">
        <v>16</v>
      </c>
      <c r="C39" s="47" t="s">
        <v>114</v>
      </c>
      <c r="D39" s="44">
        <f>232*107</f>
        <v>24824</v>
      </c>
      <c r="E39" s="51">
        <f t="shared" si="24"/>
        <v>1241.2</v>
      </c>
      <c r="F39" s="71">
        <f t="shared" si="19"/>
        <v>26065.200000000001</v>
      </c>
      <c r="G39" s="89">
        <v>232</v>
      </c>
      <c r="H39" s="46"/>
      <c r="I39" s="51">
        <f>110*G39</f>
        <v>25520</v>
      </c>
      <c r="J39" s="51">
        <f t="shared" si="26"/>
        <v>1276</v>
      </c>
      <c r="K39" s="78">
        <f t="shared" si="25"/>
        <v>26796</v>
      </c>
      <c r="L39" s="59">
        <v>42038</v>
      </c>
      <c r="M39" s="88">
        <f>26796</f>
        <v>26796</v>
      </c>
      <c r="N39" s="59">
        <v>42062</v>
      </c>
      <c r="O39" s="75">
        <v>26065.200000000001</v>
      </c>
      <c r="P39" s="59">
        <v>42058</v>
      </c>
      <c r="Q39" s="20">
        <f t="shared" si="20"/>
        <v>1276</v>
      </c>
      <c r="R39" s="20">
        <f t="shared" si="21"/>
        <v>1241.2</v>
      </c>
      <c r="S39" s="9">
        <f t="shared" si="27"/>
        <v>34.799999999999955</v>
      </c>
      <c r="T39" s="9">
        <f t="shared" si="23"/>
        <v>696</v>
      </c>
    </row>
    <row r="40" spans="1:20" x14ac:dyDescent="0.3">
      <c r="A40" s="5" t="s">
        <v>100</v>
      </c>
      <c r="B40" s="5" t="s">
        <v>25</v>
      </c>
      <c r="C40" s="48"/>
      <c r="D40" s="57">
        <f>SUM(D28:D39)</f>
        <v>242898.44999999998</v>
      </c>
      <c r="E40" s="49">
        <f t="shared" ref="E40:F40" si="28">SUM(E28:E39)</f>
        <v>9073.2350000000006</v>
      </c>
      <c r="F40" s="70">
        <f t="shared" si="28"/>
        <v>251971.68500000003</v>
      </c>
      <c r="G40" s="67">
        <f>SUM(G28:G39)</f>
        <v>1917.75</v>
      </c>
      <c r="H40" s="50"/>
      <c r="I40" s="49">
        <f>SUM(I28:I39)</f>
        <v>248411.69999999998</v>
      </c>
      <c r="J40" s="49">
        <f t="shared" ref="J40:K40" si="29">SUM(J28:J39)</f>
        <v>12420.584999999999</v>
      </c>
      <c r="K40" s="81">
        <f t="shared" si="29"/>
        <v>260832.28499999997</v>
      </c>
      <c r="L40" s="58"/>
      <c r="M40" s="86">
        <f>SUM(M28:M39)</f>
        <v>260832.28999999998</v>
      </c>
      <c r="N40" s="58"/>
      <c r="O40" s="76">
        <f>SUM(O28:O39)</f>
        <v>252511.69000000003</v>
      </c>
      <c r="P40" s="58"/>
      <c r="Q40" s="10">
        <f t="shared" ref="Q40:T40" si="30">SUM(Q28:Q39)</f>
        <v>12420.584999999999</v>
      </c>
      <c r="R40" s="10">
        <f t="shared" si="30"/>
        <v>9073.2350000000006</v>
      </c>
      <c r="S40" s="10">
        <f t="shared" si="30"/>
        <v>3347.3500000000013</v>
      </c>
      <c r="T40" s="10">
        <f t="shared" si="30"/>
        <v>5513.25</v>
      </c>
    </row>
    <row r="41" spans="1:20" s="40" customFormat="1" outlineLevel="1" x14ac:dyDescent="0.3">
      <c r="A41" s="40" t="s">
        <v>125</v>
      </c>
      <c r="B41" s="40" t="s">
        <v>28</v>
      </c>
      <c r="C41" s="47" t="s">
        <v>127</v>
      </c>
      <c r="D41" s="55">
        <f>G41*167</f>
        <v>30268.75</v>
      </c>
      <c r="E41" s="45">
        <v>0</v>
      </c>
      <c r="F41" s="69">
        <f>D41+E41</f>
        <v>30268.75</v>
      </c>
      <c r="G41" s="92">
        <v>181.25</v>
      </c>
      <c r="H41" s="52"/>
      <c r="I41" s="45">
        <f>G41*169</f>
        <v>30631.25</v>
      </c>
      <c r="J41" s="45">
        <f>I41*0.05</f>
        <v>1531.5625</v>
      </c>
      <c r="K41" s="80">
        <f>J41+I41</f>
        <v>32162.8125</v>
      </c>
      <c r="L41" s="59">
        <v>42072</v>
      </c>
      <c r="M41" s="88">
        <v>32162.81</v>
      </c>
      <c r="N41" s="59">
        <v>42102</v>
      </c>
      <c r="O41" s="74">
        <v>30268.75</v>
      </c>
      <c r="P41" s="59">
        <v>42103</v>
      </c>
      <c r="Q41" s="20">
        <f>J41</f>
        <v>1531.5625</v>
      </c>
      <c r="R41" s="20">
        <f>E41</f>
        <v>0</v>
      </c>
      <c r="S41" s="9">
        <f t="shared" ref="S41" si="31">Q41-R41</f>
        <v>1531.5625</v>
      </c>
      <c r="T41" s="9">
        <f>I41-D41</f>
        <v>362.5</v>
      </c>
    </row>
    <row r="42" spans="1:20" s="40" customFormat="1" outlineLevel="1" x14ac:dyDescent="0.3">
      <c r="A42" s="40" t="s">
        <v>125</v>
      </c>
      <c r="B42" s="40" t="s">
        <v>28</v>
      </c>
      <c r="C42" s="47" t="s">
        <v>135</v>
      </c>
      <c r="D42" s="55">
        <v>0</v>
      </c>
      <c r="E42" s="45">
        <f t="shared" ref="E42:E53" si="32">D42*0.05</f>
        <v>0</v>
      </c>
      <c r="F42" s="69">
        <f t="shared" ref="F42:F53" si="33">D42+E42</f>
        <v>0</v>
      </c>
      <c r="G42" s="92"/>
      <c r="H42" s="52"/>
      <c r="I42" s="45">
        <f>88365.64/1.05</f>
        <v>84157.75238095237</v>
      </c>
      <c r="J42" s="45">
        <f t="shared" ref="J42:J53" si="34">I42*0.05</f>
        <v>4207.8876190476185</v>
      </c>
      <c r="K42" s="80">
        <f t="shared" ref="K42:K53" si="35">J42+I42</f>
        <v>88365.639999999985</v>
      </c>
      <c r="L42" s="59">
        <v>42073</v>
      </c>
      <c r="M42" s="88">
        <v>88365.64</v>
      </c>
      <c r="N42" s="59">
        <v>42090</v>
      </c>
      <c r="O42" s="75"/>
      <c r="P42" s="64"/>
      <c r="Q42" s="20">
        <f t="shared" ref="Q42:Q53" si="36">J42</f>
        <v>4207.8876190476185</v>
      </c>
      <c r="R42" s="20">
        <f t="shared" ref="R42:R53" si="37">E42</f>
        <v>0</v>
      </c>
      <c r="S42" s="9">
        <f t="shared" ref="S42:S53" si="38">Q42-R42</f>
        <v>4207.8876190476185</v>
      </c>
      <c r="T42" s="9">
        <f t="shared" ref="T42:T53" si="39">I42-D42</f>
        <v>84157.75238095237</v>
      </c>
    </row>
    <row r="43" spans="1:20" s="40" customFormat="1" outlineLevel="1" x14ac:dyDescent="0.3">
      <c r="A43" s="40" t="s">
        <v>125</v>
      </c>
      <c r="B43" s="40" t="s">
        <v>10</v>
      </c>
      <c r="C43" s="47" t="s">
        <v>126</v>
      </c>
      <c r="D43" s="55">
        <f>G43*137</f>
        <v>21988.5</v>
      </c>
      <c r="E43" s="45">
        <v>0</v>
      </c>
      <c r="F43" s="69">
        <f t="shared" si="33"/>
        <v>21988.5</v>
      </c>
      <c r="G43" s="92">
        <v>160.5</v>
      </c>
      <c r="H43" s="52"/>
      <c r="I43" s="45">
        <f>G43*140</f>
        <v>22470</v>
      </c>
      <c r="J43" s="45">
        <f t="shared" si="34"/>
        <v>1123.5</v>
      </c>
      <c r="K43" s="80">
        <f t="shared" si="35"/>
        <v>23593.5</v>
      </c>
      <c r="L43" s="59">
        <v>42065</v>
      </c>
      <c r="M43" s="88">
        <v>23593.5</v>
      </c>
      <c r="N43" s="59">
        <v>42094</v>
      </c>
      <c r="O43" s="75">
        <v>21988.5</v>
      </c>
      <c r="P43" s="59">
        <v>42095</v>
      </c>
      <c r="Q43" s="20">
        <f t="shared" si="36"/>
        <v>1123.5</v>
      </c>
      <c r="R43" s="20">
        <f t="shared" si="37"/>
        <v>0</v>
      </c>
      <c r="S43" s="9">
        <f t="shared" si="38"/>
        <v>1123.5</v>
      </c>
      <c r="T43" s="9">
        <f t="shared" si="39"/>
        <v>481.5</v>
      </c>
    </row>
    <row r="44" spans="1:20" s="40" customFormat="1" outlineLevel="1" x14ac:dyDescent="0.3">
      <c r="A44" s="40" t="s">
        <v>125</v>
      </c>
      <c r="B44" s="40" t="s">
        <v>0</v>
      </c>
      <c r="C44" s="47" t="s">
        <v>136</v>
      </c>
      <c r="D44" s="55">
        <f>(200*133+3*140)</f>
        <v>27020</v>
      </c>
      <c r="E44" s="45">
        <f t="shared" si="32"/>
        <v>1351</v>
      </c>
      <c r="F44" s="69">
        <f t="shared" si="33"/>
        <v>28371</v>
      </c>
      <c r="G44" s="92">
        <v>203</v>
      </c>
      <c r="H44" s="52"/>
      <c r="I44" s="45">
        <f>59394.83/1.05</f>
        <v>56566.504761904762</v>
      </c>
      <c r="J44" s="45">
        <f t="shared" si="34"/>
        <v>2828.3252380952381</v>
      </c>
      <c r="K44" s="80">
        <f t="shared" si="35"/>
        <v>59394.83</v>
      </c>
      <c r="L44" s="59">
        <v>42073</v>
      </c>
      <c r="M44" s="88">
        <v>59394.83</v>
      </c>
      <c r="N44" s="59">
        <v>42090</v>
      </c>
      <c r="O44" s="75">
        <v>28371</v>
      </c>
      <c r="P44" s="59">
        <v>42093</v>
      </c>
      <c r="Q44" s="20">
        <f t="shared" si="36"/>
        <v>2828.3252380952381</v>
      </c>
      <c r="R44" s="20">
        <f t="shared" si="37"/>
        <v>1351</v>
      </c>
      <c r="S44" s="9">
        <f t="shared" si="38"/>
        <v>1477.3252380952381</v>
      </c>
      <c r="T44" s="9">
        <f t="shared" si="39"/>
        <v>29546.504761904762</v>
      </c>
    </row>
    <row r="45" spans="1:20" s="40" customFormat="1" outlineLevel="1" x14ac:dyDescent="0.3">
      <c r="A45" s="40" t="s">
        <v>125</v>
      </c>
      <c r="B45" s="40" t="s">
        <v>12</v>
      </c>
      <c r="C45" s="47"/>
      <c r="D45" s="55">
        <f>(200*124+32.5*130)</f>
        <v>29025</v>
      </c>
      <c r="E45" s="45">
        <f t="shared" si="32"/>
        <v>1451.25</v>
      </c>
      <c r="F45" s="69">
        <f t="shared" si="33"/>
        <v>30476.25</v>
      </c>
      <c r="G45" s="92">
        <v>232.5</v>
      </c>
      <c r="H45" s="52"/>
      <c r="I45" s="45"/>
      <c r="J45" s="45">
        <f t="shared" si="34"/>
        <v>0</v>
      </c>
      <c r="K45" s="80">
        <f t="shared" si="35"/>
        <v>0</v>
      </c>
      <c r="L45" s="59"/>
      <c r="M45" s="88"/>
      <c r="N45" s="59"/>
      <c r="O45" s="75">
        <v>30476.25</v>
      </c>
      <c r="P45" s="59">
        <v>42093</v>
      </c>
      <c r="Q45" s="20">
        <f t="shared" si="36"/>
        <v>0</v>
      </c>
      <c r="R45" s="20">
        <f t="shared" si="37"/>
        <v>1451.25</v>
      </c>
      <c r="S45" s="9">
        <f t="shared" si="38"/>
        <v>-1451.25</v>
      </c>
      <c r="T45" s="9">
        <f t="shared" si="39"/>
        <v>-29025</v>
      </c>
    </row>
    <row r="46" spans="1:20" s="40" customFormat="1" outlineLevel="1" x14ac:dyDescent="0.3">
      <c r="A46" s="40" t="s">
        <v>125</v>
      </c>
      <c r="B46" s="40" t="s">
        <v>19</v>
      </c>
      <c r="C46" s="47" t="s">
        <v>133</v>
      </c>
      <c r="D46" s="55">
        <f>3201.03/1.05</f>
        <v>3048.6</v>
      </c>
      <c r="E46" s="45">
        <f t="shared" si="32"/>
        <v>152.43</v>
      </c>
      <c r="F46" s="69">
        <f t="shared" si="33"/>
        <v>3201.0299999999997</v>
      </c>
      <c r="G46" s="92"/>
      <c r="H46" s="52"/>
      <c r="I46" s="45">
        <f>3201.03/1.05</f>
        <v>3048.6</v>
      </c>
      <c r="J46" s="45">
        <f t="shared" si="34"/>
        <v>152.43</v>
      </c>
      <c r="K46" s="80">
        <f t="shared" si="35"/>
        <v>3201.0299999999997</v>
      </c>
      <c r="L46" s="59">
        <v>42098</v>
      </c>
      <c r="M46" s="84">
        <v>3201.03</v>
      </c>
      <c r="N46" s="59">
        <v>42109</v>
      </c>
      <c r="O46" s="74">
        <v>3201.03</v>
      </c>
      <c r="P46" s="59">
        <v>42112</v>
      </c>
      <c r="Q46" s="20">
        <f t="shared" si="36"/>
        <v>152.43</v>
      </c>
      <c r="R46" s="20">
        <f t="shared" si="37"/>
        <v>152.43</v>
      </c>
      <c r="S46" s="9">
        <f t="shared" si="38"/>
        <v>0</v>
      </c>
      <c r="T46" s="9">
        <f t="shared" si="39"/>
        <v>0</v>
      </c>
    </row>
    <row r="47" spans="1:20" s="40" customFormat="1" outlineLevel="1" x14ac:dyDescent="0.3">
      <c r="A47" s="40" t="s">
        <v>125</v>
      </c>
      <c r="B47" s="40" t="s">
        <v>13</v>
      </c>
      <c r="C47" s="47" t="s">
        <v>132</v>
      </c>
      <c r="D47" s="55">
        <f>185*119</f>
        <v>22015</v>
      </c>
      <c r="E47" s="45">
        <f t="shared" si="32"/>
        <v>1100.75</v>
      </c>
      <c r="F47" s="69">
        <f t="shared" si="33"/>
        <v>23115.75</v>
      </c>
      <c r="G47" s="92">
        <v>185</v>
      </c>
      <c r="H47" s="52"/>
      <c r="I47" s="45"/>
      <c r="J47" s="45">
        <f t="shared" si="34"/>
        <v>0</v>
      </c>
      <c r="K47" s="80">
        <f t="shared" si="35"/>
        <v>0</v>
      </c>
      <c r="L47" s="56"/>
      <c r="M47" s="88"/>
      <c r="N47" s="59"/>
      <c r="O47" s="75">
        <v>23115.75</v>
      </c>
      <c r="P47" s="59">
        <v>42093</v>
      </c>
      <c r="Q47" s="20">
        <f t="shared" si="36"/>
        <v>0</v>
      </c>
      <c r="R47" s="20">
        <f t="shared" si="37"/>
        <v>1100.75</v>
      </c>
      <c r="S47" s="9">
        <f t="shared" si="38"/>
        <v>-1100.75</v>
      </c>
      <c r="T47" s="9">
        <f t="shared" si="39"/>
        <v>-22015</v>
      </c>
    </row>
    <row r="48" spans="1:20" s="40" customFormat="1" outlineLevel="1" x14ac:dyDescent="0.3">
      <c r="A48" s="40" t="s">
        <v>125</v>
      </c>
      <c r="B48" s="40" t="s">
        <v>14</v>
      </c>
      <c r="C48" s="47" t="s">
        <v>128</v>
      </c>
      <c r="D48" s="55">
        <f>125*G48</f>
        <v>18750</v>
      </c>
      <c r="E48" s="45">
        <f t="shared" si="32"/>
        <v>937.5</v>
      </c>
      <c r="F48" s="69">
        <f t="shared" si="33"/>
        <v>19687.5</v>
      </c>
      <c r="G48" s="92">
        <v>150</v>
      </c>
      <c r="H48" s="52"/>
      <c r="I48" s="45"/>
      <c r="J48" s="45">
        <f t="shared" si="34"/>
        <v>0</v>
      </c>
      <c r="K48" s="80">
        <f t="shared" si="35"/>
        <v>0</v>
      </c>
      <c r="L48" s="59"/>
      <c r="M48" s="88"/>
      <c r="N48" s="59"/>
      <c r="O48" s="75">
        <v>19687.5</v>
      </c>
      <c r="P48" s="59">
        <v>42093</v>
      </c>
      <c r="Q48" s="20">
        <f t="shared" si="36"/>
        <v>0</v>
      </c>
      <c r="R48" s="20">
        <f t="shared" si="37"/>
        <v>937.5</v>
      </c>
      <c r="S48" s="9">
        <f t="shared" si="38"/>
        <v>-937.5</v>
      </c>
      <c r="T48" s="9">
        <f t="shared" si="39"/>
        <v>-18750</v>
      </c>
    </row>
    <row r="49" spans="1:20" s="40" customFormat="1" outlineLevel="1" x14ac:dyDescent="0.3">
      <c r="A49" s="40" t="s">
        <v>125</v>
      </c>
      <c r="B49" s="40" t="s">
        <v>18</v>
      </c>
      <c r="C49" s="47" t="s">
        <v>129</v>
      </c>
      <c r="D49" s="55">
        <f>1820.66/1.05</f>
        <v>1733.9619047619049</v>
      </c>
      <c r="E49" s="45">
        <f t="shared" si="32"/>
        <v>86.698095238095249</v>
      </c>
      <c r="F49" s="69">
        <f t="shared" si="33"/>
        <v>1820.66</v>
      </c>
      <c r="G49" s="92">
        <v>0</v>
      </c>
      <c r="H49" s="52"/>
      <c r="I49" s="45">
        <f>1820.66/1.05</f>
        <v>1733.9619047619049</v>
      </c>
      <c r="J49" s="45">
        <f t="shared" si="34"/>
        <v>86.698095238095249</v>
      </c>
      <c r="K49" s="80">
        <f t="shared" si="35"/>
        <v>1820.66</v>
      </c>
      <c r="L49" s="60">
        <v>42078</v>
      </c>
      <c r="M49" s="88">
        <v>1820.66</v>
      </c>
      <c r="N49" s="59">
        <v>42096</v>
      </c>
      <c r="O49" s="74">
        <v>1820.66</v>
      </c>
      <c r="P49" s="59">
        <v>42100</v>
      </c>
      <c r="Q49" s="20">
        <f t="shared" si="36"/>
        <v>86.698095238095249</v>
      </c>
      <c r="R49" s="20">
        <f t="shared" si="37"/>
        <v>86.698095238095249</v>
      </c>
      <c r="S49" s="9">
        <f t="shared" si="38"/>
        <v>0</v>
      </c>
      <c r="T49" s="9">
        <f t="shared" si="39"/>
        <v>0</v>
      </c>
    </row>
    <row r="50" spans="1:20" s="40" customFormat="1" outlineLevel="1" x14ac:dyDescent="0.3">
      <c r="A50" s="40" t="s">
        <v>125</v>
      </c>
      <c r="B50" s="40" t="s">
        <v>9</v>
      </c>
      <c r="C50" s="47" t="s">
        <v>131</v>
      </c>
      <c r="D50" s="55">
        <f>178*119</f>
        <v>21182</v>
      </c>
      <c r="E50" s="45">
        <f t="shared" si="32"/>
        <v>1059.1000000000001</v>
      </c>
      <c r="F50" s="69">
        <f t="shared" si="33"/>
        <v>22241.1</v>
      </c>
      <c r="G50" s="92">
        <v>178</v>
      </c>
      <c r="H50" s="52"/>
      <c r="I50" s="45"/>
      <c r="J50" s="45">
        <f t="shared" si="34"/>
        <v>0</v>
      </c>
      <c r="K50" s="80">
        <f t="shared" si="35"/>
        <v>0</v>
      </c>
      <c r="L50" s="59"/>
      <c r="M50" s="88"/>
      <c r="N50" s="59"/>
      <c r="O50" s="75">
        <v>22241.1</v>
      </c>
      <c r="P50" s="59">
        <v>42093</v>
      </c>
      <c r="Q50" s="20">
        <f t="shared" si="36"/>
        <v>0</v>
      </c>
      <c r="R50" s="20">
        <f t="shared" si="37"/>
        <v>1059.1000000000001</v>
      </c>
      <c r="S50" s="9">
        <f t="shared" si="38"/>
        <v>-1059.1000000000001</v>
      </c>
      <c r="T50" s="9">
        <f t="shared" si="39"/>
        <v>-21182</v>
      </c>
    </row>
    <row r="51" spans="1:20" s="40" customFormat="1" outlineLevel="1" x14ac:dyDescent="0.3">
      <c r="A51" s="14" t="s">
        <v>125</v>
      </c>
      <c r="B51" s="40" t="s">
        <v>17</v>
      </c>
      <c r="C51" s="47" t="s">
        <v>134</v>
      </c>
      <c r="D51" s="55">
        <f>2628.79/1.05</f>
        <v>2503.6095238095236</v>
      </c>
      <c r="E51" s="45">
        <f t="shared" si="32"/>
        <v>125.18047619047618</v>
      </c>
      <c r="F51" s="69">
        <f t="shared" si="33"/>
        <v>2628.79</v>
      </c>
      <c r="G51" s="92">
        <v>0</v>
      </c>
      <c r="H51" s="52"/>
      <c r="I51" s="45">
        <f>2628.79/1.05</f>
        <v>2503.6095238095236</v>
      </c>
      <c r="J51" s="45">
        <f t="shared" si="34"/>
        <v>125.18047619047618</v>
      </c>
      <c r="K51" s="80">
        <f t="shared" si="35"/>
        <v>2628.79</v>
      </c>
      <c r="L51" s="59">
        <v>42078</v>
      </c>
      <c r="M51" s="84">
        <v>2628.79</v>
      </c>
      <c r="N51" s="59">
        <v>42137</v>
      </c>
      <c r="O51" s="74">
        <v>2628.79</v>
      </c>
      <c r="P51" s="56">
        <v>42136</v>
      </c>
      <c r="Q51" s="20">
        <f t="shared" si="36"/>
        <v>125.18047619047618</v>
      </c>
      <c r="R51" s="20">
        <f t="shared" si="37"/>
        <v>125.18047619047618</v>
      </c>
      <c r="S51" s="9">
        <f t="shared" si="38"/>
        <v>0</v>
      </c>
      <c r="T51" s="9">
        <f t="shared" si="39"/>
        <v>0</v>
      </c>
    </row>
    <row r="52" spans="1:20" s="40" customFormat="1" outlineLevel="1" x14ac:dyDescent="0.3">
      <c r="A52" s="40" t="s">
        <v>125</v>
      </c>
      <c r="B52" s="40" t="s">
        <v>16</v>
      </c>
      <c r="C52" s="47" t="s">
        <v>137</v>
      </c>
      <c r="D52" s="55">
        <f>(200*102)+(27*107)</f>
        <v>23289</v>
      </c>
      <c r="E52" s="45">
        <f t="shared" si="32"/>
        <v>1164.45</v>
      </c>
      <c r="F52" s="69">
        <f t="shared" ref="F52" si="40">D52+E52</f>
        <v>24453.45</v>
      </c>
      <c r="G52" s="92">
        <v>227</v>
      </c>
      <c r="H52" s="52"/>
      <c r="I52" s="45"/>
      <c r="J52" s="45"/>
      <c r="K52" s="80"/>
      <c r="L52" s="59"/>
      <c r="M52" s="84"/>
      <c r="N52" s="59"/>
      <c r="O52" s="74">
        <v>24453.45</v>
      </c>
      <c r="P52" s="59">
        <v>42093</v>
      </c>
      <c r="Q52" s="20">
        <f t="shared" ref="Q52" si="41">J52</f>
        <v>0</v>
      </c>
      <c r="R52" s="20">
        <f t="shared" ref="R52" si="42">E52</f>
        <v>1164.45</v>
      </c>
      <c r="S52" s="9">
        <f t="shared" ref="S52" si="43">Q52-R52</f>
        <v>-1164.45</v>
      </c>
      <c r="T52" s="9">
        <f t="shared" si="39"/>
        <v>-23289</v>
      </c>
    </row>
    <row r="53" spans="1:20" s="40" customFormat="1" outlineLevel="1" x14ac:dyDescent="0.3">
      <c r="A53" s="40" t="s">
        <v>125</v>
      </c>
      <c r="B53" s="40" t="s">
        <v>16</v>
      </c>
      <c r="C53" s="47" t="s">
        <v>137</v>
      </c>
      <c r="D53" s="55"/>
      <c r="E53" s="45">
        <f t="shared" si="32"/>
        <v>0</v>
      </c>
      <c r="F53" s="69">
        <f t="shared" si="33"/>
        <v>0</v>
      </c>
      <c r="G53" s="92"/>
      <c r="H53" s="52"/>
      <c r="I53" s="45">
        <v>2970</v>
      </c>
      <c r="J53" s="45">
        <f t="shared" si="34"/>
        <v>148.5</v>
      </c>
      <c r="K53" s="80">
        <f t="shared" si="35"/>
        <v>3118.5</v>
      </c>
      <c r="L53" s="59">
        <v>42073</v>
      </c>
      <c r="M53" s="88">
        <v>3118.5</v>
      </c>
      <c r="N53" s="59">
        <v>42090</v>
      </c>
      <c r="O53" s="75"/>
      <c r="P53" s="59"/>
      <c r="Q53" s="20">
        <f t="shared" si="36"/>
        <v>148.5</v>
      </c>
      <c r="R53" s="20">
        <f t="shared" si="37"/>
        <v>0</v>
      </c>
      <c r="S53" s="9">
        <f t="shared" si="38"/>
        <v>148.5</v>
      </c>
      <c r="T53" s="9">
        <f t="shared" si="39"/>
        <v>2970</v>
      </c>
    </row>
    <row r="54" spans="1:20" s="40" customFormat="1" x14ac:dyDescent="0.3">
      <c r="A54" s="5" t="s">
        <v>125</v>
      </c>
      <c r="B54" s="5" t="s">
        <v>25</v>
      </c>
      <c r="C54" s="48"/>
      <c r="D54" s="57">
        <f t="shared" ref="D54:K54" si="44">SUM(D41:D53)</f>
        <v>200824.42142857143</v>
      </c>
      <c r="E54" s="49">
        <f t="shared" si="44"/>
        <v>7428.3585714285718</v>
      </c>
      <c r="F54" s="70">
        <f t="shared" si="44"/>
        <v>208252.78000000003</v>
      </c>
      <c r="G54" s="67">
        <f t="shared" si="44"/>
        <v>1517.25</v>
      </c>
      <c r="H54" s="50"/>
      <c r="I54" s="49">
        <f t="shared" si="44"/>
        <v>204081.67857142855</v>
      </c>
      <c r="J54" s="49">
        <f t="shared" si="44"/>
        <v>10204.083928571428</v>
      </c>
      <c r="K54" s="81">
        <f t="shared" si="44"/>
        <v>214285.76249999998</v>
      </c>
      <c r="L54" s="58"/>
      <c r="M54" s="86">
        <f>SUM(M41:M53)</f>
        <v>214285.76000000004</v>
      </c>
      <c r="N54" s="58"/>
      <c r="O54" s="76">
        <f>SUM(O41:O53)</f>
        <v>208252.78000000003</v>
      </c>
      <c r="P54" s="58"/>
      <c r="Q54" s="10">
        <f t="shared" ref="Q54:R54" si="45">SUM(Q41:Q53)</f>
        <v>10204.083928571428</v>
      </c>
      <c r="R54" s="10">
        <f t="shared" si="45"/>
        <v>7428.3585714285718</v>
      </c>
      <c r="S54" s="10">
        <f>SUM(S41:S53)</f>
        <v>2775.7253571428564</v>
      </c>
      <c r="T54" s="10">
        <f>SUM(T41:T53)</f>
        <v>3257.2571428571246</v>
      </c>
    </row>
    <row r="55" spans="1:20" outlineLevel="1" x14ac:dyDescent="0.3">
      <c r="A55" t="s">
        <v>130</v>
      </c>
      <c r="B55" s="40" t="s">
        <v>28</v>
      </c>
      <c r="C55" s="47"/>
      <c r="D55" s="55">
        <f>103.5*167</f>
        <v>17284.5</v>
      </c>
      <c r="E55" s="45">
        <v>0</v>
      </c>
      <c r="F55" s="69">
        <f>D55+E55</f>
        <v>17284.5</v>
      </c>
      <c r="G55" s="89">
        <v>103.5</v>
      </c>
      <c r="H55" s="46"/>
      <c r="I55" s="51"/>
      <c r="J55" s="51">
        <f>I55*0.05</f>
        <v>0</v>
      </c>
      <c r="K55" s="78">
        <f>I55+J55</f>
        <v>0</v>
      </c>
      <c r="L55" s="46"/>
      <c r="M55" s="88"/>
      <c r="N55" s="64"/>
      <c r="O55" s="74">
        <v>17284.5</v>
      </c>
      <c r="P55" s="56">
        <v>42136</v>
      </c>
      <c r="Q55" s="20">
        <f>J55</f>
        <v>0</v>
      </c>
      <c r="R55" s="20">
        <f>E55</f>
        <v>0</v>
      </c>
      <c r="S55" s="9">
        <f t="shared" ref="S55:S71" si="46">Q55-R55</f>
        <v>0</v>
      </c>
      <c r="T55" s="9">
        <f>I55-D55</f>
        <v>-17284.5</v>
      </c>
    </row>
    <row r="56" spans="1:20" s="40" customFormat="1" outlineLevel="1" x14ac:dyDescent="0.3">
      <c r="A56" s="40" t="s">
        <v>130</v>
      </c>
      <c r="B56" s="40" t="s">
        <v>28</v>
      </c>
      <c r="C56" s="47" t="s">
        <v>149</v>
      </c>
      <c r="D56" s="55">
        <f>16.25*175</f>
        <v>2843.75</v>
      </c>
      <c r="E56" s="45">
        <v>0</v>
      </c>
      <c r="F56" s="69">
        <f t="shared" ref="F56:F71" si="47">D56+E56</f>
        <v>2843.75</v>
      </c>
      <c r="G56" s="89">
        <v>16.25</v>
      </c>
      <c r="H56" s="46"/>
      <c r="I56" s="45">
        <f>G56*177</f>
        <v>2876.25</v>
      </c>
      <c r="J56" s="51">
        <f t="shared" ref="J56:J71" si="48">I56*0.05</f>
        <v>143.8125</v>
      </c>
      <c r="K56" s="78">
        <f t="shared" ref="K56:K71" si="49">I56+J56</f>
        <v>3020.0625</v>
      </c>
      <c r="L56" s="59">
        <v>42112</v>
      </c>
      <c r="M56" s="88">
        <v>3020.06</v>
      </c>
      <c r="N56" s="59">
        <v>42123</v>
      </c>
      <c r="O56" s="74">
        <v>2843.75</v>
      </c>
      <c r="P56" s="59">
        <v>42136</v>
      </c>
      <c r="Q56" s="20">
        <f t="shared" ref="Q56:Q71" si="50">J56</f>
        <v>143.8125</v>
      </c>
      <c r="R56" s="20">
        <f t="shared" ref="R56:R71" si="51">E56</f>
        <v>0</v>
      </c>
      <c r="S56" s="9">
        <f t="shared" si="46"/>
        <v>143.8125</v>
      </c>
      <c r="T56" s="9">
        <f t="shared" ref="T56:T71" si="52">I56-D56</f>
        <v>32.5</v>
      </c>
    </row>
    <row r="57" spans="1:20" outlineLevel="1" x14ac:dyDescent="0.3">
      <c r="A57" s="40" t="s">
        <v>130</v>
      </c>
      <c r="B57" s="40" t="s">
        <v>10</v>
      </c>
      <c r="C57" s="47"/>
      <c r="D57" s="44">
        <f>137*G57</f>
        <v>21269.25</v>
      </c>
      <c r="E57" s="51">
        <v>0</v>
      </c>
      <c r="F57" s="69">
        <f t="shared" si="47"/>
        <v>21269.25</v>
      </c>
      <c r="G57" s="89">
        <v>155.25</v>
      </c>
      <c r="H57" s="46"/>
      <c r="I57" s="51">
        <f>G57*140</f>
        <v>21735</v>
      </c>
      <c r="J57" s="51">
        <f t="shared" si="48"/>
        <v>1086.75</v>
      </c>
      <c r="K57" s="78">
        <f t="shared" si="49"/>
        <v>22821.75</v>
      </c>
      <c r="L57" s="59">
        <v>42096</v>
      </c>
      <c r="M57" s="88">
        <v>22821.75</v>
      </c>
      <c r="N57" s="59">
        <v>42124</v>
      </c>
      <c r="O57" s="75">
        <v>21269.25</v>
      </c>
      <c r="P57" s="59">
        <v>42128</v>
      </c>
      <c r="Q57" s="20">
        <f t="shared" si="50"/>
        <v>1086.75</v>
      </c>
      <c r="R57" s="20">
        <f t="shared" si="51"/>
        <v>0</v>
      </c>
      <c r="S57" s="9">
        <f t="shared" si="46"/>
        <v>1086.75</v>
      </c>
      <c r="T57" s="9">
        <f t="shared" si="52"/>
        <v>465.75</v>
      </c>
    </row>
    <row r="58" spans="1:20" s="40" customFormat="1" outlineLevel="1" x14ac:dyDescent="0.3">
      <c r="A58" s="40" t="s">
        <v>130</v>
      </c>
      <c r="B58" s="40">
        <v>4501364873</v>
      </c>
      <c r="C58" s="47" t="s">
        <v>138</v>
      </c>
      <c r="D58" s="44"/>
      <c r="E58" s="51">
        <f>D58*0.05</f>
        <v>0</v>
      </c>
      <c r="F58" s="69">
        <f t="shared" si="47"/>
        <v>0</v>
      </c>
      <c r="G58" s="89"/>
      <c r="H58" s="46"/>
      <c r="I58" s="45">
        <f>104729</f>
        <v>104729</v>
      </c>
      <c r="J58" s="51">
        <f t="shared" si="48"/>
        <v>5236.4500000000007</v>
      </c>
      <c r="K58" s="78">
        <f t="shared" si="49"/>
        <v>109965.45</v>
      </c>
      <c r="L58" s="59">
        <v>42100</v>
      </c>
      <c r="M58" s="84">
        <v>109965.45</v>
      </c>
      <c r="N58" s="59">
        <v>42136</v>
      </c>
      <c r="O58" s="75"/>
      <c r="P58" s="64"/>
      <c r="Q58" s="20">
        <f t="shared" si="50"/>
        <v>5236.4500000000007</v>
      </c>
      <c r="R58" s="20">
        <f t="shared" si="51"/>
        <v>0</v>
      </c>
      <c r="S58" s="9">
        <f t="shared" si="46"/>
        <v>5236.4500000000007</v>
      </c>
      <c r="T58" s="9">
        <f t="shared" si="52"/>
        <v>104729</v>
      </c>
    </row>
    <row r="59" spans="1:20" s="40" customFormat="1" outlineLevel="1" x14ac:dyDescent="0.3">
      <c r="A59" s="40" t="s">
        <v>130</v>
      </c>
      <c r="B59" s="40" t="s">
        <v>0</v>
      </c>
      <c r="C59" s="47"/>
      <c r="D59" s="44">
        <f>133*G59</f>
        <v>10640</v>
      </c>
      <c r="E59" s="51">
        <f t="shared" ref="E59:E71" si="53">D59*0.05</f>
        <v>532</v>
      </c>
      <c r="F59" s="69">
        <f t="shared" si="47"/>
        <v>11172</v>
      </c>
      <c r="G59" s="89">
        <v>80</v>
      </c>
      <c r="H59" s="46"/>
      <c r="I59" s="51"/>
      <c r="J59" s="51">
        <f t="shared" si="48"/>
        <v>0</v>
      </c>
      <c r="K59" s="78">
        <f t="shared" si="49"/>
        <v>0</v>
      </c>
      <c r="L59" s="59"/>
      <c r="M59" s="88"/>
      <c r="N59" s="64"/>
      <c r="O59" s="75">
        <v>11172</v>
      </c>
      <c r="P59" s="59">
        <v>42135</v>
      </c>
      <c r="Q59" s="20">
        <f t="shared" si="50"/>
        <v>0</v>
      </c>
      <c r="R59" s="20">
        <f t="shared" si="51"/>
        <v>532</v>
      </c>
      <c r="S59" s="9">
        <f t="shared" si="46"/>
        <v>-532</v>
      </c>
      <c r="T59" s="9">
        <f t="shared" si="52"/>
        <v>-10640</v>
      </c>
    </row>
    <row r="60" spans="1:20" outlineLevel="1" x14ac:dyDescent="0.3">
      <c r="A60" s="40" t="s">
        <v>130</v>
      </c>
      <c r="B60" s="40" t="s">
        <v>143</v>
      </c>
      <c r="C60" s="47" t="s">
        <v>145</v>
      </c>
      <c r="D60" s="55">
        <f>140*G60</f>
        <v>700</v>
      </c>
      <c r="E60" s="51">
        <f t="shared" si="53"/>
        <v>35</v>
      </c>
      <c r="F60" s="69">
        <f t="shared" si="47"/>
        <v>735</v>
      </c>
      <c r="G60" s="89">
        <v>5</v>
      </c>
      <c r="H60" s="46"/>
      <c r="I60" s="45">
        <f>G60*142</f>
        <v>710</v>
      </c>
      <c r="J60" s="51">
        <f t="shared" si="48"/>
        <v>35.5</v>
      </c>
      <c r="K60" s="78">
        <f t="shared" si="49"/>
        <v>745.5</v>
      </c>
      <c r="L60" s="59">
        <v>42106</v>
      </c>
      <c r="M60" s="84">
        <v>745.5</v>
      </c>
      <c r="N60" s="59">
        <v>42128</v>
      </c>
      <c r="O60" s="74">
        <v>735</v>
      </c>
      <c r="P60" s="56">
        <v>42136</v>
      </c>
      <c r="Q60" s="20">
        <f t="shared" si="50"/>
        <v>35.5</v>
      </c>
      <c r="R60" s="20">
        <f t="shared" si="51"/>
        <v>35</v>
      </c>
      <c r="S60" s="9">
        <f t="shared" si="46"/>
        <v>0.5</v>
      </c>
      <c r="T60" s="9">
        <f t="shared" si="52"/>
        <v>10</v>
      </c>
    </row>
    <row r="61" spans="1:20" outlineLevel="1" x14ac:dyDescent="0.3">
      <c r="A61" s="40" t="s">
        <v>130</v>
      </c>
      <c r="B61" s="40" t="s">
        <v>12</v>
      </c>
      <c r="C61" s="47"/>
      <c r="D61" s="55">
        <f>124*G61</f>
        <v>19840</v>
      </c>
      <c r="E61" s="51">
        <f t="shared" si="53"/>
        <v>992</v>
      </c>
      <c r="F61" s="69">
        <f t="shared" si="47"/>
        <v>20832</v>
      </c>
      <c r="G61" s="89">
        <v>160</v>
      </c>
      <c r="H61" s="46"/>
      <c r="I61" s="51"/>
      <c r="J61" s="51">
        <f t="shared" si="48"/>
        <v>0</v>
      </c>
      <c r="K61" s="78">
        <f t="shared" si="49"/>
        <v>0</v>
      </c>
      <c r="L61" s="46" t="s">
        <v>119</v>
      </c>
      <c r="M61" s="88"/>
      <c r="N61" s="64"/>
      <c r="O61" s="74">
        <v>20832</v>
      </c>
      <c r="P61" s="56">
        <v>42136</v>
      </c>
      <c r="Q61" s="20">
        <f t="shared" si="50"/>
        <v>0</v>
      </c>
      <c r="R61" s="20">
        <f t="shared" si="51"/>
        <v>992</v>
      </c>
      <c r="S61" s="9">
        <f t="shared" si="46"/>
        <v>-992</v>
      </c>
      <c r="T61" s="9">
        <f t="shared" si="52"/>
        <v>-19840</v>
      </c>
    </row>
    <row r="62" spans="1:20" outlineLevel="1" x14ac:dyDescent="0.3">
      <c r="A62" s="40" t="s">
        <v>130</v>
      </c>
      <c r="B62" s="40" t="s">
        <v>154</v>
      </c>
      <c r="C62" s="47" t="s">
        <v>151</v>
      </c>
      <c r="D62" s="55">
        <f>G62*130</f>
        <v>8320</v>
      </c>
      <c r="E62" s="51">
        <f t="shared" si="53"/>
        <v>416</v>
      </c>
      <c r="F62" s="69">
        <f t="shared" si="47"/>
        <v>8736</v>
      </c>
      <c r="G62" s="89">
        <f>224-160</f>
        <v>64</v>
      </c>
      <c r="H62" s="46"/>
      <c r="I62" s="45">
        <f>G62*132</f>
        <v>8448</v>
      </c>
      <c r="J62" s="51">
        <f t="shared" si="48"/>
        <v>422.40000000000003</v>
      </c>
      <c r="K62" s="78">
        <f t="shared" si="49"/>
        <v>8870.4</v>
      </c>
      <c r="L62" s="59">
        <v>42106</v>
      </c>
      <c r="M62" s="84">
        <v>8870.4</v>
      </c>
      <c r="N62" s="59">
        <v>42128</v>
      </c>
      <c r="O62" s="74">
        <v>8736</v>
      </c>
      <c r="P62" s="59">
        <v>42136</v>
      </c>
      <c r="Q62" s="20">
        <f t="shared" si="50"/>
        <v>422.40000000000003</v>
      </c>
      <c r="R62" s="20">
        <f t="shared" si="51"/>
        <v>416</v>
      </c>
      <c r="S62" s="9">
        <f t="shared" si="46"/>
        <v>6.4000000000000341</v>
      </c>
      <c r="T62" s="9">
        <f t="shared" si="52"/>
        <v>128</v>
      </c>
    </row>
    <row r="63" spans="1:20" s="40" customFormat="1" outlineLevel="1" x14ac:dyDescent="0.3">
      <c r="A63" s="40" t="s">
        <v>26</v>
      </c>
      <c r="B63" s="40" t="s">
        <v>19</v>
      </c>
      <c r="C63" s="47" t="s">
        <v>150</v>
      </c>
      <c r="D63" s="55">
        <f>1707/1.05</f>
        <v>1625.7142857142856</v>
      </c>
      <c r="E63" s="51">
        <f t="shared" si="53"/>
        <v>81.285714285714278</v>
      </c>
      <c r="F63" s="69">
        <f t="shared" si="47"/>
        <v>1706.9999999999998</v>
      </c>
      <c r="G63" s="89" t="s">
        <v>119</v>
      </c>
      <c r="H63" s="46"/>
      <c r="I63" s="45">
        <f>1707/1.05</f>
        <v>1625.7142857142856</v>
      </c>
      <c r="J63" s="51">
        <f t="shared" si="48"/>
        <v>81.285714285714278</v>
      </c>
      <c r="K63" s="78">
        <f t="shared" si="49"/>
        <v>1706.9999999999998</v>
      </c>
      <c r="L63" s="56">
        <v>42105</v>
      </c>
      <c r="M63" s="84">
        <v>1707</v>
      </c>
      <c r="N63" s="59">
        <v>42118</v>
      </c>
      <c r="O63" s="75">
        <v>1707</v>
      </c>
      <c r="P63" s="59">
        <v>42122</v>
      </c>
      <c r="Q63" s="20">
        <f t="shared" si="50"/>
        <v>81.285714285714278</v>
      </c>
      <c r="R63" s="20">
        <f t="shared" si="51"/>
        <v>81.285714285714278</v>
      </c>
      <c r="S63" s="9">
        <f t="shared" si="46"/>
        <v>0</v>
      </c>
      <c r="T63" s="9">
        <f t="shared" si="52"/>
        <v>0</v>
      </c>
    </row>
    <row r="64" spans="1:20" outlineLevel="1" x14ac:dyDescent="0.3">
      <c r="A64" s="40" t="s">
        <v>130</v>
      </c>
      <c r="B64" s="40" t="s">
        <v>13</v>
      </c>
      <c r="C64" s="47" t="s">
        <v>140</v>
      </c>
      <c r="D64" s="55">
        <f>160*119</f>
        <v>19040</v>
      </c>
      <c r="E64" s="51">
        <f t="shared" si="53"/>
        <v>952</v>
      </c>
      <c r="F64" s="69">
        <f t="shared" si="47"/>
        <v>19992</v>
      </c>
      <c r="G64" s="89">
        <v>160</v>
      </c>
      <c r="H64" s="46"/>
      <c r="I64" s="51"/>
      <c r="J64" s="51">
        <f t="shared" si="48"/>
        <v>0</v>
      </c>
      <c r="K64" s="78">
        <f t="shared" si="49"/>
        <v>0</v>
      </c>
      <c r="L64" s="46" t="s">
        <v>119</v>
      </c>
      <c r="M64" s="88"/>
      <c r="N64" s="64"/>
      <c r="O64" s="74">
        <f>10000</f>
        <v>10000</v>
      </c>
      <c r="P64" s="59">
        <v>42128</v>
      </c>
      <c r="Q64" s="20">
        <f t="shared" si="50"/>
        <v>0</v>
      </c>
      <c r="R64" s="20">
        <f t="shared" si="51"/>
        <v>952</v>
      </c>
      <c r="S64" s="9">
        <f t="shared" si="46"/>
        <v>-952</v>
      </c>
      <c r="T64" s="9">
        <f t="shared" si="52"/>
        <v>-19040</v>
      </c>
    </row>
    <row r="65" spans="1:20" s="40" customFormat="1" outlineLevel="1" x14ac:dyDescent="0.3">
      <c r="A65" s="40" t="s">
        <v>130</v>
      </c>
      <c r="B65" s="40" t="s">
        <v>13</v>
      </c>
      <c r="C65" s="47" t="s">
        <v>140</v>
      </c>
      <c r="D65" s="55"/>
      <c r="E65" s="51">
        <f t="shared" si="53"/>
        <v>0</v>
      </c>
      <c r="F65" s="69">
        <f t="shared" si="47"/>
        <v>0</v>
      </c>
      <c r="G65" s="89"/>
      <c r="H65" s="46"/>
      <c r="I65" s="51"/>
      <c r="J65" s="51">
        <f t="shared" si="48"/>
        <v>0</v>
      </c>
      <c r="K65" s="78">
        <f t="shared" si="49"/>
        <v>0</v>
      </c>
      <c r="L65" s="46"/>
      <c r="M65" s="88"/>
      <c r="N65" s="64"/>
      <c r="O65" s="74">
        <v>9992</v>
      </c>
      <c r="P65" s="56">
        <v>42136</v>
      </c>
      <c r="Q65" s="20">
        <f t="shared" si="50"/>
        <v>0</v>
      </c>
      <c r="R65" s="20">
        <f t="shared" si="51"/>
        <v>0</v>
      </c>
      <c r="S65" s="9">
        <f t="shared" si="46"/>
        <v>0</v>
      </c>
      <c r="T65" s="9">
        <f t="shared" si="52"/>
        <v>0</v>
      </c>
    </row>
    <row r="66" spans="1:20" s="40" customFormat="1" outlineLevel="1" x14ac:dyDescent="0.3">
      <c r="A66" s="40" t="s">
        <v>130</v>
      </c>
      <c r="B66" s="40" t="s">
        <v>139</v>
      </c>
      <c r="C66" s="47" t="s">
        <v>146</v>
      </c>
      <c r="D66" s="55">
        <f>G66*125</f>
        <v>1000</v>
      </c>
      <c r="E66" s="51">
        <f t="shared" si="53"/>
        <v>50</v>
      </c>
      <c r="F66" s="69">
        <f t="shared" si="47"/>
        <v>1050</v>
      </c>
      <c r="G66" s="89">
        <v>8</v>
      </c>
      <c r="H66" s="46"/>
      <c r="I66" s="45">
        <f>G66*127</f>
        <v>1016</v>
      </c>
      <c r="J66" s="51">
        <f t="shared" si="48"/>
        <v>50.800000000000004</v>
      </c>
      <c r="K66" s="78">
        <f t="shared" si="49"/>
        <v>1066.8</v>
      </c>
      <c r="L66" s="59">
        <v>42106</v>
      </c>
      <c r="M66" s="84">
        <v>1066.8</v>
      </c>
      <c r="N66" s="59">
        <v>42128</v>
      </c>
      <c r="O66" s="74">
        <v>1050</v>
      </c>
      <c r="P66" s="59">
        <v>42136</v>
      </c>
      <c r="Q66" s="20">
        <f t="shared" si="50"/>
        <v>50.800000000000004</v>
      </c>
      <c r="R66" s="20">
        <f t="shared" si="51"/>
        <v>50</v>
      </c>
      <c r="S66" s="9">
        <f t="shared" si="46"/>
        <v>0.80000000000000426</v>
      </c>
      <c r="T66" s="9">
        <f t="shared" si="52"/>
        <v>16</v>
      </c>
    </row>
    <row r="67" spans="1:20" outlineLevel="1" x14ac:dyDescent="0.3">
      <c r="A67" s="40" t="s">
        <v>130</v>
      </c>
      <c r="B67" s="40" t="s">
        <v>14</v>
      </c>
      <c r="C67" s="47"/>
      <c r="D67" s="55">
        <f>G67*125</f>
        <v>10062.5</v>
      </c>
      <c r="E67" s="51">
        <f t="shared" si="53"/>
        <v>503.125</v>
      </c>
      <c r="F67" s="69">
        <f t="shared" si="47"/>
        <v>10565.625</v>
      </c>
      <c r="G67" s="89">
        <v>80.5</v>
      </c>
      <c r="H67" s="46"/>
      <c r="I67" s="51"/>
      <c r="J67" s="51">
        <f t="shared" si="48"/>
        <v>0</v>
      </c>
      <c r="K67" s="78">
        <f t="shared" si="49"/>
        <v>0</v>
      </c>
      <c r="L67" s="46" t="s">
        <v>119</v>
      </c>
      <c r="M67" s="88"/>
      <c r="N67" s="64"/>
      <c r="O67" s="74">
        <v>10062.5</v>
      </c>
      <c r="P67" s="56">
        <v>42136</v>
      </c>
      <c r="Q67" s="20">
        <f t="shared" si="50"/>
        <v>0</v>
      </c>
      <c r="R67" s="20">
        <f t="shared" si="51"/>
        <v>503.125</v>
      </c>
      <c r="S67" s="9">
        <f t="shared" si="46"/>
        <v>-503.125</v>
      </c>
      <c r="T67" s="9">
        <f t="shared" si="52"/>
        <v>-10062.5</v>
      </c>
    </row>
    <row r="68" spans="1:20" s="40" customFormat="1" outlineLevel="1" x14ac:dyDescent="0.3">
      <c r="A68" s="40" t="s">
        <v>130</v>
      </c>
      <c r="B68" s="40" t="s">
        <v>14</v>
      </c>
      <c r="C68" s="47"/>
      <c r="D68" s="55"/>
      <c r="E68" s="51">
        <f t="shared" si="53"/>
        <v>0</v>
      </c>
      <c r="F68" s="69">
        <f t="shared" si="47"/>
        <v>0</v>
      </c>
      <c r="G68" s="89"/>
      <c r="H68" s="46"/>
      <c r="I68" s="51"/>
      <c r="J68" s="51">
        <f t="shared" si="48"/>
        <v>0</v>
      </c>
      <c r="K68" s="78">
        <f t="shared" si="49"/>
        <v>0</v>
      </c>
      <c r="L68" s="46"/>
      <c r="M68" s="88"/>
      <c r="N68" s="64"/>
      <c r="O68" s="74">
        <v>503.13</v>
      </c>
      <c r="P68" s="56">
        <v>42156</v>
      </c>
      <c r="Q68" s="20">
        <f t="shared" si="50"/>
        <v>0</v>
      </c>
      <c r="R68" s="20">
        <f t="shared" si="51"/>
        <v>0</v>
      </c>
      <c r="S68" s="9">
        <f t="shared" si="46"/>
        <v>0</v>
      </c>
      <c r="T68" s="9">
        <f t="shared" si="52"/>
        <v>0</v>
      </c>
    </row>
    <row r="69" spans="1:20" s="40" customFormat="1" outlineLevel="1" x14ac:dyDescent="0.3">
      <c r="A69" s="40" t="s">
        <v>130</v>
      </c>
      <c r="B69" s="40" t="s">
        <v>16</v>
      </c>
      <c r="C69" s="47" t="s">
        <v>141</v>
      </c>
      <c r="D69" s="55">
        <f>G69*102</f>
        <v>16320</v>
      </c>
      <c r="E69" s="51">
        <f t="shared" si="53"/>
        <v>816</v>
      </c>
      <c r="F69" s="69">
        <f t="shared" si="47"/>
        <v>17136</v>
      </c>
      <c r="G69" s="89">
        <v>160</v>
      </c>
      <c r="H69" s="46"/>
      <c r="I69" s="51"/>
      <c r="J69" s="51">
        <f t="shared" si="48"/>
        <v>0</v>
      </c>
      <c r="K69" s="78">
        <f t="shared" si="49"/>
        <v>0</v>
      </c>
      <c r="L69" s="46" t="s">
        <v>119</v>
      </c>
      <c r="M69" s="88"/>
      <c r="N69" s="64"/>
      <c r="O69" s="74">
        <v>10000</v>
      </c>
      <c r="P69" s="56">
        <v>42128</v>
      </c>
      <c r="Q69" s="20">
        <f t="shared" si="50"/>
        <v>0</v>
      </c>
      <c r="R69" s="20">
        <f t="shared" si="51"/>
        <v>816</v>
      </c>
      <c r="S69" s="9">
        <f t="shared" si="46"/>
        <v>-816</v>
      </c>
      <c r="T69" s="9">
        <f t="shared" si="52"/>
        <v>-16320</v>
      </c>
    </row>
    <row r="70" spans="1:20" s="40" customFormat="1" outlineLevel="1" x14ac:dyDescent="0.3">
      <c r="A70" s="40" t="s">
        <v>130</v>
      </c>
      <c r="B70" s="40" t="s">
        <v>16</v>
      </c>
      <c r="C70" s="47" t="s">
        <v>141</v>
      </c>
      <c r="D70" s="55"/>
      <c r="E70" s="51">
        <f t="shared" si="53"/>
        <v>0</v>
      </c>
      <c r="F70" s="69">
        <f t="shared" si="47"/>
        <v>0</v>
      </c>
      <c r="G70" s="89"/>
      <c r="H70" s="46"/>
      <c r="I70" s="51"/>
      <c r="J70" s="51">
        <f t="shared" si="48"/>
        <v>0</v>
      </c>
      <c r="K70" s="78">
        <f t="shared" si="49"/>
        <v>0</v>
      </c>
      <c r="L70" s="46"/>
      <c r="M70" s="88"/>
      <c r="N70" s="64"/>
      <c r="O70" s="74">
        <v>7136</v>
      </c>
      <c r="P70" s="56">
        <v>42136</v>
      </c>
      <c r="Q70" s="20">
        <f t="shared" si="50"/>
        <v>0</v>
      </c>
      <c r="R70" s="20">
        <f t="shared" si="51"/>
        <v>0</v>
      </c>
      <c r="S70" s="9">
        <f t="shared" si="46"/>
        <v>0</v>
      </c>
      <c r="T70" s="9">
        <f t="shared" si="52"/>
        <v>0</v>
      </c>
    </row>
    <row r="71" spans="1:20" outlineLevel="1" x14ac:dyDescent="0.3">
      <c r="A71" s="40" t="s">
        <v>130</v>
      </c>
      <c r="B71" s="40" t="s">
        <v>142</v>
      </c>
      <c r="C71" s="47" t="s">
        <v>147</v>
      </c>
      <c r="D71" s="55">
        <f>G71*107</f>
        <v>4173</v>
      </c>
      <c r="E71" s="51">
        <f t="shared" si="53"/>
        <v>208.65</v>
      </c>
      <c r="F71" s="69">
        <f t="shared" si="47"/>
        <v>4381.6499999999996</v>
      </c>
      <c r="G71" s="89">
        <v>39</v>
      </c>
      <c r="H71" s="46"/>
      <c r="I71" s="45">
        <f>G71*109</f>
        <v>4251</v>
      </c>
      <c r="J71" s="51">
        <f t="shared" si="48"/>
        <v>212.55</v>
      </c>
      <c r="K71" s="78">
        <f t="shared" si="49"/>
        <v>4463.55</v>
      </c>
      <c r="L71" s="59">
        <v>42106</v>
      </c>
      <c r="M71" s="84">
        <v>4463.55</v>
      </c>
      <c r="N71" s="59">
        <v>42136</v>
      </c>
      <c r="O71" s="74">
        <v>4381.6499999999996</v>
      </c>
      <c r="P71" s="56">
        <v>42136</v>
      </c>
      <c r="Q71" s="20">
        <f t="shared" si="50"/>
        <v>212.55</v>
      </c>
      <c r="R71" s="20">
        <f t="shared" si="51"/>
        <v>208.65</v>
      </c>
      <c r="S71" s="9">
        <f t="shared" si="46"/>
        <v>3.9000000000000057</v>
      </c>
      <c r="T71" s="9">
        <f t="shared" si="52"/>
        <v>78</v>
      </c>
    </row>
    <row r="72" spans="1:20" x14ac:dyDescent="0.3">
      <c r="A72" s="5" t="s">
        <v>130</v>
      </c>
      <c r="B72" s="5" t="s">
        <v>25</v>
      </c>
      <c r="C72" s="48"/>
      <c r="D72" s="57">
        <f>SUM(D55:D71)</f>
        <v>133118.71428571429</v>
      </c>
      <c r="E72" s="49">
        <f t="shared" ref="E72:F72" si="54">SUM(E55:E71)</f>
        <v>4586.0607142857134</v>
      </c>
      <c r="F72" s="70">
        <f t="shared" si="54"/>
        <v>137704.77499999999</v>
      </c>
      <c r="G72" s="93">
        <f t="shared" ref="G72:T72" si="55">SUM(G55:G71)</f>
        <v>1031.5</v>
      </c>
      <c r="H72" s="54"/>
      <c r="I72" s="49">
        <f t="shared" si="55"/>
        <v>145390.96428571429</v>
      </c>
      <c r="J72" s="49">
        <f t="shared" si="55"/>
        <v>7269.5482142857154</v>
      </c>
      <c r="K72" s="81">
        <f t="shared" si="55"/>
        <v>152660.51249999998</v>
      </c>
      <c r="L72" s="58"/>
      <c r="M72" s="86">
        <f t="shared" si="55"/>
        <v>152660.50999999998</v>
      </c>
      <c r="N72" s="58"/>
      <c r="O72" s="76">
        <f t="shared" si="55"/>
        <v>137704.78</v>
      </c>
      <c r="P72" s="58"/>
      <c r="Q72" s="10">
        <f t="shared" si="55"/>
        <v>7269.5482142857154</v>
      </c>
      <c r="R72" s="10">
        <f t="shared" si="55"/>
        <v>4586.0607142857134</v>
      </c>
      <c r="S72" s="10">
        <f t="shared" si="55"/>
        <v>2683.4875000000006</v>
      </c>
      <c r="T72" s="10">
        <f t="shared" si="55"/>
        <v>12272.25</v>
      </c>
    </row>
    <row r="73" spans="1:20" outlineLevel="1" x14ac:dyDescent="0.3">
      <c r="A73" s="40" t="s">
        <v>148</v>
      </c>
      <c r="B73" s="40" t="s">
        <v>28</v>
      </c>
      <c r="C73" s="47" t="s">
        <v>152</v>
      </c>
      <c r="D73" s="55">
        <f>G73*156</f>
        <v>5850</v>
      </c>
      <c r="E73" s="45">
        <v>0</v>
      </c>
      <c r="F73" s="69">
        <f>D73+E73</f>
        <v>5850</v>
      </c>
      <c r="G73" s="89">
        <v>37.5</v>
      </c>
      <c r="H73" s="46"/>
      <c r="I73" s="45">
        <f>1300*4.5</f>
        <v>5850</v>
      </c>
      <c r="J73" s="45">
        <f>I73*0.05</f>
        <v>292.5</v>
      </c>
      <c r="K73" s="80">
        <f>J73+I73</f>
        <v>6142.5</v>
      </c>
      <c r="L73" s="59">
        <v>42115</v>
      </c>
      <c r="M73" s="84">
        <v>6142.5</v>
      </c>
      <c r="N73" s="59">
        <v>42132</v>
      </c>
      <c r="O73" s="74">
        <v>5850</v>
      </c>
      <c r="P73" s="59">
        <v>42136</v>
      </c>
      <c r="Q73" s="20">
        <f>J73</f>
        <v>292.5</v>
      </c>
      <c r="R73" s="20">
        <f>E73</f>
        <v>0</v>
      </c>
      <c r="S73" s="9">
        <f t="shared" ref="S73" si="56">Q73-R73</f>
        <v>292.5</v>
      </c>
      <c r="T73" s="9">
        <f>I73-D73</f>
        <v>0</v>
      </c>
    </row>
    <row r="74" spans="1:20" outlineLevel="1" x14ac:dyDescent="0.3">
      <c r="A74" s="40" t="s">
        <v>148</v>
      </c>
      <c r="B74" s="40" t="s">
        <v>10</v>
      </c>
      <c r="C74" s="47" t="s">
        <v>153</v>
      </c>
      <c r="D74" s="44">
        <f>122*162.25</f>
        <v>19794.5</v>
      </c>
      <c r="E74" s="45">
        <v>0</v>
      </c>
      <c r="F74" s="69">
        <f t="shared" ref="F74:F75" si="57">D74+E74</f>
        <v>19794.5</v>
      </c>
      <c r="G74" s="89">
        <v>162.25</v>
      </c>
      <c r="H74" s="46"/>
      <c r="I74" s="51">
        <f>G74*125</f>
        <v>20281.25</v>
      </c>
      <c r="J74" s="45">
        <f t="shared" ref="J74:J75" si="58">I74*0.05</f>
        <v>1014.0625</v>
      </c>
      <c r="K74" s="80">
        <f t="shared" ref="K74:K75" si="59">J74+I74</f>
        <v>21295.3125</v>
      </c>
      <c r="L74" s="59">
        <v>42128</v>
      </c>
      <c r="M74" s="88">
        <v>21295.31</v>
      </c>
      <c r="N74" s="59">
        <v>42153</v>
      </c>
      <c r="O74" s="75">
        <v>19794.5</v>
      </c>
      <c r="P74" s="59">
        <v>42156</v>
      </c>
      <c r="Q74" s="20">
        <f>J74</f>
        <v>1014.0625</v>
      </c>
      <c r="R74" s="20">
        <f>E74</f>
        <v>0</v>
      </c>
      <c r="S74" s="9">
        <f t="shared" ref="S74" si="60">Q74-R74</f>
        <v>1014.0625</v>
      </c>
      <c r="T74" s="9">
        <f>I74-D74</f>
        <v>486.75</v>
      </c>
    </row>
    <row r="75" spans="1:20" s="40" customFormat="1" outlineLevel="1" x14ac:dyDescent="0.3">
      <c r="A75" s="40" t="s">
        <v>148</v>
      </c>
      <c r="C75" s="47"/>
      <c r="D75" s="44"/>
      <c r="E75" s="45">
        <f t="shared" ref="E75" si="61">D75*0.05</f>
        <v>0</v>
      </c>
      <c r="F75" s="69">
        <f t="shared" si="57"/>
        <v>0</v>
      </c>
      <c r="G75" s="89"/>
      <c r="H75" s="46"/>
      <c r="I75" s="51">
        <v>0</v>
      </c>
      <c r="J75" s="45">
        <f t="shared" si="58"/>
        <v>0</v>
      </c>
      <c r="K75" s="80">
        <f t="shared" si="59"/>
        <v>0</v>
      </c>
      <c r="L75" s="59"/>
      <c r="M75" s="88"/>
      <c r="N75" s="64"/>
      <c r="O75" s="75"/>
      <c r="P75" s="64"/>
      <c r="Q75" s="9"/>
      <c r="R75" s="9"/>
      <c r="T75" s="9"/>
    </row>
    <row r="76" spans="1:20" outlineLevel="1" x14ac:dyDescent="0.3">
      <c r="A76" s="40" t="s">
        <v>148</v>
      </c>
      <c r="C76" s="47"/>
      <c r="D76" s="44"/>
      <c r="E76" s="51"/>
      <c r="F76" s="71"/>
      <c r="G76" s="89"/>
      <c r="H76" s="46"/>
      <c r="I76" s="51"/>
      <c r="J76" s="51"/>
      <c r="K76" s="78"/>
      <c r="L76" s="46"/>
      <c r="M76" s="88"/>
      <c r="N76" s="64"/>
      <c r="O76" s="75"/>
      <c r="P76" s="64"/>
    </row>
    <row r="77" spans="1:20" s="40" customFormat="1" x14ac:dyDescent="0.3">
      <c r="A77" s="5" t="s">
        <v>148</v>
      </c>
      <c r="B77" s="5" t="s">
        <v>25</v>
      </c>
      <c r="C77" s="48"/>
      <c r="D77" s="57">
        <f>SUM(D73:D76)</f>
        <v>25644.5</v>
      </c>
      <c r="E77" s="49">
        <f t="shared" ref="E77:F77" si="62">SUM(E73:E76)</f>
        <v>0</v>
      </c>
      <c r="F77" s="70">
        <f t="shared" si="62"/>
        <v>25644.5</v>
      </c>
      <c r="G77" s="93">
        <f>SUM(G73:G76)</f>
        <v>199.75</v>
      </c>
      <c r="H77" s="54"/>
      <c r="I77" s="49">
        <f>SUM(I73:I76)</f>
        <v>26131.25</v>
      </c>
      <c r="J77" s="49">
        <f t="shared" ref="J77:K77" si="63">SUM(J73:J76)</f>
        <v>1306.5625</v>
      </c>
      <c r="K77" s="81">
        <f t="shared" si="63"/>
        <v>27437.8125</v>
      </c>
      <c r="L77" s="58"/>
      <c r="M77" s="86">
        <f>SUM(M73:M76)</f>
        <v>27437.81</v>
      </c>
      <c r="N77" s="58"/>
      <c r="O77" s="76">
        <f>SUM(O73:O76)</f>
        <v>25644.5</v>
      </c>
      <c r="P77" s="58"/>
      <c r="Q77" s="10"/>
      <c r="R77" s="10"/>
      <c r="S77" s="10">
        <f>SUM(S73:S76)</f>
        <v>1306.5625</v>
      </c>
      <c r="T77" s="10">
        <f>SUM(T73:T76)</f>
        <v>486.75</v>
      </c>
    </row>
    <row r="78" spans="1:20" s="40" customFormat="1" outlineLevel="1" x14ac:dyDescent="0.3">
      <c r="A78" s="40" t="s">
        <v>155</v>
      </c>
      <c r="B78" s="40" t="s">
        <v>28</v>
      </c>
      <c r="C78" s="47" t="s">
        <v>174</v>
      </c>
      <c r="D78" s="44">
        <f>152*G78</f>
        <v>2584</v>
      </c>
      <c r="E78" s="45"/>
      <c r="F78" s="69">
        <f>E78+D78</f>
        <v>2584</v>
      </c>
      <c r="G78" s="89">
        <v>17</v>
      </c>
      <c r="H78" s="59">
        <v>42155</v>
      </c>
      <c r="I78" s="51"/>
      <c r="J78" s="45"/>
      <c r="K78" s="80">
        <f t="shared" ref="K78" si="64">J78+I78</f>
        <v>0</v>
      </c>
      <c r="L78" s="59"/>
      <c r="M78" s="84"/>
      <c r="N78" s="59"/>
      <c r="O78" s="74">
        <f>2584</f>
        <v>2584</v>
      </c>
      <c r="P78" s="59">
        <v>42216</v>
      </c>
      <c r="Q78" s="20">
        <f>J78</f>
        <v>0</v>
      </c>
      <c r="R78" s="20">
        <f>E78</f>
        <v>0</v>
      </c>
      <c r="S78" s="9">
        <f t="shared" ref="S78" si="65">Q78-R78</f>
        <v>0</v>
      </c>
      <c r="T78" s="9">
        <f>I78-D78</f>
        <v>-2584</v>
      </c>
    </row>
    <row r="79" spans="1:20" s="40" customFormat="1" outlineLevel="1" x14ac:dyDescent="0.3">
      <c r="A79" s="40" t="s">
        <v>155</v>
      </c>
      <c r="B79" s="40" t="s">
        <v>176</v>
      </c>
      <c r="C79" s="47" t="s">
        <v>177</v>
      </c>
      <c r="D79" s="44">
        <v>1433.97</v>
      </c>
      <c r="E79" s="45">
        <v>25.35</v>
      </c>
      <c r="F79" s="69">
        <f>E79+D79</f>
        <v>1459.32</v>
      </c>
      <c r="G79" s="89"/>
      <c r="H79" s="59">
        <v>42158</v>
      </c>
      <c r="I79" s="51">
        <v>1433.97</v>
      </c>
      <c r="J79" s="45">
        <v>25.35</v>
      </c>
      <c r="K79" s="80">
        <f t="shared" ref="K79" si="66">J79+I79</f>
        <v>1459.32</v>
      </c>
      <c r="L79" s="59">
        <v>42158</v>
      </c>
      <c r="M79" s="84"/>
      <c r="N79" s="59"/>
      <c r="O79" s="74"/>
      <c r="P79" s="59"/>
      <c r="Q79" s="20">
        <f t="shared" ref="Q79:Q83" si="67">J79</f>
        <v>25.35</v>
      </c>
      <c r="R79" s="20">
        <f t="shared" ref="R79:R83" si="68">E79</f>
        <v>25.35</v>
      </c>
      <c r="S79" s="9">
        <f t="shared" ref="S79:S83" si="69">Q79-R79</f>
        <v>0</v>
      </c>
      <c r="T79" s="9">
        <f t="shared" ref="T79:T83" si="70">I79-D79</f>
        <v>0</v>
      </c>
    </row>
    <row r="80" spans="1:20" s="40" customFormat="1" outlineLevel="1" x14ac:dyDescent="0.3">
      <c r="A80" s="40" t="s">
        <v>155</v>
      </c>
      <c r="B80" s="40" t="s">
        <v>10</v>
      </c>
      <c r="C80" s="47" t="s">
        <v>172</v>
      </c>
      <c r="D80" s="44">
        <f>122*G80</f>
        <v>19672.5</v>
      </c>
      <c r="E80" s="45"/>
      <c r="F80" s="69">
        <f>E80+D80</f>
        <v>19672.5</v>
      </c>
      <c r="G80" s="89">
        <v>161.25</v>
      </c>
      <c r="H80" s="59">
        <v>42155</v>
      </c>
      <c r="I80" s="51">
        <f>G80*125</f>
        <v>20156.25</v>
      </c>
      <c r="J80" s="45">
        <f t="shared" ref="J80:J83" si="71">I80*0.05</f>
        <v>1007.8125</v>
      </c>
      <c r="K80" s="80">
        <f t="shared" ref="K80:K83" si="72">J80+I80</f>
        <v>21164.0625</v>
      </c>
      <c r="L80" s="59">
        <v>42158</v>
      </c>
      <c r="M80" s="88">
        <v>21164.06</v>
      </c>
      <c r="N80" s="59">
        <v>42185</v>
      </c>
      <c r="O80" s="75">
        <v>19672.5</v>
      </c>
      <c r="P80" s="59">
        <v>42185</v>
      </c>
      <c r="Q80" s="20">
        <f t="shared" si="67"/>
        <v>1007.8125</v>
      </c>
      <c r="R80" s="20">
        <f t="shared" si="68"/>
        <v>0</v>
      </c>
      <c r="S80" s="9">
        <f t="shared" si="69"/>
        <v>1007.8125</v>
      </c>
      <c r="T80" s="9">
        <f t="shared" si="70"/>
        <v>483.75</v>
      </c>
    </row>
    <row r="81" spans="1:20" s="40" customFormat="1" outlineLevel="1" x14ac:dyDescent="0.3">
      <c r="A81" s="40" t="s">
        <v>155</v>
      </c>
      <c r="B81" s="40" t="s">
        <v>14</v>
      </c>
      <c r="C81" s="47" t="s">
        <v>170</v>
      </c>
      <c r="D81" s="44">
        <f>125*G81</f>
        <v>375</v>
      </c>
      <c r="E81" s="51">
        <f>D81*0.05</f>
        <v>18.75</v>
      </c>
      <c r="F81" s="71">
        <f>E81+D81</f>
        <v>393.75</v>
      </c>
      <c r="G81" s="89">
        <f>3</f>
        <v>3</v>
      </c>
      <c r="H81" s="59">
        <v>42155</v>
      </c>
      <c r="I81" s="51">
        <v>0</v>
      </c>
      <c r="J81" s="45">
        <f t="shared" si="71"/>
        <v>0</v>
      </c>
      <c r="K81" s="80">
        <f t="shared" si="72"/>
        <v>0</v>
      </c>
      <c r="L81" s="59"/>
      <c r="M81" s="88"/>
      <c r="N81" s="64"/>
      <c r="O81" s="75">
        <f>3*125*1.05</f>
        <v>393.75</v>
      </c>
      <c r="P81" s="59">
        <v>42156</v>
      </c>
      <c r="Q81" s="20">
        <f t="shared" si="67"/>
        <v>0</v>
      </c>
      <c r="R81" s="20">
        <f t="shared" si="68"/>
        <v>18.75</v>
      </c>
      <c r="S81" s="9">
        <f t="shared" si="69"/>
        <v>-18.75</v>
      </c>
      <c r="T81" s="9">
        <f t="shared" si="70"/>
        <v>-375</v>
      </c>
    </row>
    <row r="82" spans="1:20" s="40" customFormat="1" outlineLevel="1" x14ac:dyDescent="0.3">
      <c r="A82" s="40" t="s">
        <v>155</v>
      </c>
      <c r="B82" s="40" t="s">
        <v>171</v>
      </c>
      <c r="C82" s="90" t="s">
        <v>173</v>
      </c>
      <c r="D82" s="44">
        <f>125*G82</f>
        <v>10000</v>
      </c>
      <c r="E82" s="51">
        <f>D82*0.05</f>
        <v>500</v>
      </c>
      <c r="F82" s="71">
        <f>E82+D82</f>
        <v>10500</v>
      </c>
      <c r="G82" s="89">
        <v>80</v>
      </c>
      <c r="H82" s="59">
        <v>42155</v>
      </c>
      <c r="I82" s="51">
        <v>0</v>
      </c>
      <c r="J82" s="45">
        <f t="shared" si="71"/>
        <v>0</v>
      </c>
      <c r="K82" s="80">
        <f t="shared" si="72"/>
        <v>0</v>
      </c>
      <c r="L82" s="59"/>
      <c r="M82" s="88">
        <v>0</v>
      </c>
      <c r="N82" s="64"/>
      <c r="O82" s="75">
        <v>10500</v>
      </c>
      <c r="P82" s="59">
        <v>42184</v>
      </c>
      <c r="Q82" s="20">
        <f t="shared" si="67"/>
        <v>0</v>
      </c>
      <c r="R82" s="20">
        <f t="shared" si="68"/>
        <v>500</v>
      </c>
      <c r="S82" s="9">
        <f t="shared" si="69"/>
        <v>-500</v>
      </c>
      <c r="T82" s="9">
        <f t="shared" si="70"/>
        <v>-10000</v>
      </c>
    </row>
    <row r="83" spans="1:20" s="40" customFormat="1" outlineLevel="1" x14ac:dyDescent="0.3">
      <c r="A83" s="40" t="s">
        <v>155</v>
      </c>
      <c r="B83" s="40" t="s">
        <v>179</v>
      </c>
      <c r="C83" s="90" t="s">
        <v>175</v>
      </c>
      <c r="D83" s="44"/>
      <c r="E83" s="51"/>
      <c r="F83" s="71"/>
      <c r="G83" s="89"/>
      <c r="H83" s="46"/>
      <c r="I83" s="51">
        <f>80*130+17*155</f>
        <v>13035</v>
      </c>
      <c r="J83" s="45">
        <f t="shared" si="71"/>
        <v>651.75</v>
      </c>
      <c r="K83" s="80">
        <f t="shared" si="72"/>
        <v>13686.75</v>
      </c>
      <c r="L83" s="59">
        <v>42158</v>
      </c>
      <c r="M83" s="88"/>
      <c r="N83" s="64"/>
      <c r="O83" s="75">
        <v>0</v>
      </c>
      <c r="P83" s="64"/>
      <c r="Q83" s="20">
        <f t="shared" si="67"/>
        <v>651.75</v>
      </c>
      <c r="R83" s="20">
        <f t="shared" si="68"/>
        <v>0</v>
      </c>
      <c r="S83" s="9">
        <f t="shared" si="69"/>
        <v>651.75</v>
      </c>
      <c r="T83" s="9">
        <f t="shared" si="70"/>
        <v>13035</v>
      </c>
    </row>
    <row r="84" spans="1:20" s="40" customFormat="1" x14ac:dyDescent="0.3">
      <c r="A84" s="5" t="s">
        <v>155</v>
      </c>
      <c r="B84" s="5" t="s">
        <v>25</v>
      </c>
      <c r="C84" s="48"/>
      <c r="D84" s="57">
        <f>SUM(D78:D83)</f>
        <v>34065.47</v>
      </c>
      <c r="E84" s="49">
        <f t="shared" ref="E84:G84" si="73">SUM(E78:E83)</f>
        <v>544.1</v>
      </c>
      <c r="F84" s="70">
        <f t="shared" si="73"/>
        <v>34609.57</v>
      </c>
      <c r="G84" s="93">
        <f t="shared" si="73"/>
        <v>261.25</v>
      </c>
      <c r="H84" s="54"/>
      <c r="I84" s="49">
        <f>SUM(I78:I83)</f>
        <v>34625.22</v>
      </c>
      <c r="J84" s="49">
        <f t="shared" ref="J84:K84" si="74">SUM(J78:J83)</f>
        <v>1684.9124999999999</v>
      </c>
      <c r="K84" s="81">
        <f t="shared" si="74"/>
        <v>36310.1325</v>
      </c>
      <c r="L84" s="58"/>
      <c r="M84" s="86">
        <f>SUM(M78:M83)</f>
        <v>21164.06</v>
      </c>
      <c r="N84" s="58"/>
      <c r="O84" s="76">
        <f>SUM(O78:O83)</f>
        <v>33150.25</v>
      </c>
      <c r="P84" s="58"/>
      <c r="Q84" s="49">
        <f>SUM(Q78:Q83)</f>
        <v>1684.9124999999999</v>
      </c>
      <c r="R84" s="49">
        <f t="shared" ref="R84:S84" si="75">SUM(R78:R83)</f>
        <v>544.1</v>
      </c>
      <c r="S84" s="49">
        <f t="shared" si="75"/>
        <v>1140.8125</v>
      </c>
      <c r="T84" s="10">
        <f>SUM(T78:T82)</f>
        <v>-12475.25</v>
      </c>
    </row>
    <row r="85" spans="1:20" x14ac:dyDescent="0.3">
      <c r="A85" s="40" t="s">
        <v>180</v>
      </c>
      <c r="B85" s="40" t="s">
        <v>28</v>
      </c>
      <c r="C85" s="47"/>
      <c r="D85" s="44"/>
      <c r="E85" s="51"/>
      <c r="F85" s="71"/>
      <c r="G85" s="89"/>
      <c r="H85" s="46"/>
      <c r="I85" s="51"/>
      <c r="J85" s="51"/>
      <c r="K85" s="78"/>
      <c r="L85" s="46"/>
      <c r="M85" s="88"/>
      <c r="N85" s="64"/>
      <c r="O85" s="75"/>
      <c r="P85" s="64"/>
    </row>
    <row r="86" spans="1:20" x14ac:dyDescent="0.3">
      <c r="A86" s="40" t="s">
        <v>180</v>
      </c>
      <c r="B86" s="40" t="s">
        <v>10</v>
      </c>
      <c r="C86" s="47" t="s">
        <v>181</v>
      </c>
      <c r="D86" s="44">
        <v>22051.5</v>
      </c>
      <c r="E86" s="51"/>
      <c r="F86" s="71">
        <f>D86</f>
        <v>22051.5</v>
      </c>
      <c r="G86" s="89">
        <v>180.75</v>
      </c>
      <c r="H86" s="59">
        <v>42185</v>
      </c>
      <c r="I86" s="51">
        <f>G86*125</f>
        <v>22593.75</v>
      </c>
      <c r="J86" s="51">
        <f>I86*0.05</f>
        <v>1129.6875</v>
      </c>
      <c r="K86" s="78">
        <f>J86+I86</f>
        <v>23723.4375</v>
      </c>
      <c r="L86" s="59">
        <v>42185</v>
      </c>
      <c r="M86" s="88">
        <v>23723.439999999999</v>
      </c>
      <c r="N86" s="64"/>
      <c r="O86" s="75">
        <v>22051.5</v>
      </c>
      <c r="P86" s="59">
        <v>42216</v>
      </c>
      <c r="Q86" s="9">
        <f>J86</f>
        <v>1129.6875</v>
      </c>
      <c r="S86" s="9">
        <f>Q86-R86</f>
        <v>1129.6875</v>
      </c>
      <c r="T86">
        <f>3*G86</f>
        <v>542.25</v>
      </c>
    </row>
    <row r="87" spans="1:20" s="40" customFormat="1" x14ac:dyDescent="0.3">
      <c r="A87" s="5" t="s">
        <v>182</v>
      </c>
      <c r="B87" s="5" t="s">
        <v>25</v>
      </c>
      <c r="C87" s="48"/>
      <c r="D87" s="57">
        <f>SUM(D81:D86)</f>
        <v>66491.97</v>
      </c>
      <c r="E87" s="49">
        <f t="shared" ref="E87:G87" si="76">SUM(E81:E86)</f>
        <v>1062.8499999999999</v>
      </c>
      <c r="F87" s="70">
        <f t="shared" si="76"/>
        <v>67554.820000000007</v>
      </c>
      <c r="G87" s="93">
        <f t="shared" si="76"/>
        <v>525</v>
      </c>
      <c r="H87" s="54"/>
      <c r="I87" s="49">
        <f>SUM(I81:I86)</f>
        <v>70253.97</v>
      </c>
      <c r="J87" s="49">
        <f t="shared" ref="J87:K87" si="77">SUM(J81:J86)</f>
        <v>3466.35</v>
      </c>
      <c r="K87" s="81">
        <f t="shared" si="77"/>
        <v>73720.320000000007</v>
      </c>
      <c r="L87" s="58"/>
      <c r="M87" s="86">
        <f>SUM(M81:M86)</f>
        <v>44887.5</v>
      </c>
      <c r="N87" s="58"/>
      <c r="O87" s="76">
        <f>SUM(O81:O86)</f>
        <v>66095.5</v>
      </c>
      <c r="P87" s="58"/>
      <c r="Q87" s="49">
        <f>SUM(Q81:Q86)</f>
        <v>3466.35</v>
      </c>
      <c r="R87" s="49">
        <f t="shared" ref="R87:S87" si="78">SUM(R81:R86)</f>
        <v>1062.8499999999999</v>
      </c>
      <c r="S87" s="49">
        <f t="shared" si="78"/>
        <v>2403.5</v>
      </c>
      <c r="T87" s="10">
        <f>SUM(T85:T86)</f>
        <v>542.25</v>
      </c>
    </row>
    <row r="88" spans="1:20" s="40" customFormat="1" x14ac:dyDescent="0.3">
      <c r="A88" s="40" t="s">
        <v>184</v>
      </c>
      <c r="B88" s="40" t="s">
        <v>28</v>
      </c>
      <c r="C88" s="47"/>
      <c r="D88" s="44"/>
      <c r="E88" s="51"/>
      <c r="F88" s="71"/>
      <c r="G88" s="89"/>
      <c r="H88" s="46"/>
      <c r="I88" s="51"/>
      <c r="J88" s="51"/>
      <c r="K88" s="78"/>
      <c r="L88" s="46"/>
      <c r="M88" s="88"/>
      <c r="N88" s="64"/>
      <c r="O88" s="75"/>
      <c r="P88" s="64"/>
      <c r="Q88" s="9"/>
      <c r="R88" s="9"/>
    </row>
    <row r="89" spans="1:20" s="40" customFormat="1" x14ac:dyDescent="0.3">
      <c r="A89" s="40" t="s">
        <v>184</v>
      </c>
      <c r="B89" s="40" t="s">
        <v>10</v>
      </c>
      <c r="C89" s="47" t="s">
        <v>183</v>
      </c>
      <c r="D89" s="44">
        <f>122*G89</f>
        <v>13938.5</v>
      </c>
      <c r="E89" s="51"/>
      <c r="F89" s="71">
        <f>D89</f>
        <v>13938.5</v>
      </c>
      <c r="G89" s="89">
        <v>114.25</v>
      </c>
      <c r="H89" s="59">
        <v>42216</v>
      </c>
      <c r="I89" s="51">
        <f>G89*125</f>
        <v>14281.25</v>
      </c>
      <c r="J89" s="51">
        <f>I89*0.05</f>
        <v>714.0625</v>
      </c>
      <c r="K89" s="78">
        <f>J89+I89</f>
        <v>14995.3125</v>
      </c>
      <c r="L89" s="59">
        <v>42216</v>
      </c>
      <c r="M89" s="88">
        <f>K89</f>
        <v>14995.3125</v>
      </c>
      <c r="N89" s="64" t="s">
        <v>194</v>
      </c>
      <c r="O89" s="75">
        <f>F89</f>
        <v>13938.5</v>
      </c>
      <c r="P89" s="59">
        <v>42247</v>
      </c>
      <c r="Q89" s="9">
        <f>J89</f>
        <v>714.0625</v>
      </c>
      <c r="R89" s="9"/>
      <c r="S89" s="9">
        <f>Q89-R89</f>
        <v>714.0625</v>
      </c>
      <c r="T89" s="40">
        <f>3*G89</f>
        <v>342.75</v>
      </c>
    </row>
    <row r="90" spans="1:20" s="40" customFormat="1" x14ac:dyDescent="0.3">
      <c r="A90" s="40" t="s">
        <v>184</v>
      </c>
      <c r="B90" s="5" t="s">
        <v>25</v>
      </c>
      <c r="C90" s="48"/>
      <c r="D90" s="57">
        <f>SUM(D88:D89)</f>
        <v>13938.5</v>
      </c>
      <c r="E90" s="49">
        <f t="shared" ref="E90:F90" si="79">SUM(E88:E89)</f>
        <v>0</v>
      </c>
      <c r="F90" s="49">
        <f t="shared" si="79"/>
        <v>13938.5</v>
      </c>
      <c r="G90" s="93"/>
      <c r="H90" s="54"/>
      <c r="I90" s="49">
        <f>SUM(I88:I89)</f>
        <v>14281.25</v>
      </c>
      <c r="J90" s="49">
        <f>SUM(J88:J89)</f>
        <v>714.0625</v>
      </c>
      <c r="K90" s="81">
        <f t="shared" ref="K90" si="80">SUM(K84:K89)</f>
        <v>148749.20250000001</v>
      </c>
      <c r="L90" s="58"/>
      <c r="M90" s="86">
        <f>SUM(M88:M89)</f>
        <v>14995.3125</v>
      </c>
      <c r="N90" s="58"/>
      <c r="O90" s="76">
        <f>SUM(O88:O89)</f>
        <v>13938.5</v>
      </c>
      <c r="P90" s="58"/>
      <c r="Q90" s="49">
        <f>SUM(Q84:Q89)</f>
        <v>6995.0124999999998</v>
      </c>
      <c r="R90" s="49">
        <f t="shared" ref="R90:S90" si="81">SUM(R84:R89)</f>
        <v>1606.9499999999998</v>
      </c>
      <c r="S90" s="49">
        <f t="shared" si="81"/>
        <v>5388.0625</v>
      </c>
      <c r="T90" s="10">
        <f>SUM(T84:T88)</f>
        <v>-11390.75</v>
      </c>
    </row>
    <row r="91" spans="1:20" s="40" customFormat="1" x14ac:dyDescent="0.3">
      <c r="A91" s="40" t="s">
        <v>185</v>
      </c>
      <c r="B91" s="40" t="s">
        <v>28</v>
      </c>
      <c r="C91" s="99" t="s">
        <v>189</v>
      </c>
      <c r="D91" s="55">
        <f>137*G91</f>
        <v>1746.75</v>
      </c>
      <c r="E91" s="45"/>
      <c r="F91" s="69">
        <f>D91+E91</f>
        <v>1746.75</v>
      </c>
      <c r="G91" s="92">
        <v>12.75</v>
      </c>
      <c r="H91" s="56">
        <v>42250</v>
      </c>
      <c r="I91" s="45">
        <f>140*G91</f>
        <v>1785</v>
      </c>
      <c r="J91" s="45">
        <f>I91*0.05</f>
        <v>89.25</v>
      </c>
      <c r="K91" s="80">
        <f>J91+I91</f>
        <v>1874.25</v>
      </c>
      <c r="L91" s="56">
        <v>42250</v>
      </c>
      <c r="M91" s="88">
        <f>K91</f>
        <v>1874.25</v>
      </c>
      <c r="N91" s="64" t="s">
        <v>195</v>
      </c>
      <c r="O91" s="75">
        <f>F91</f>
        <v>1746.75</v>
      </c>
      <c r="P91" s="59">
        <v>42317</v>
      </c>
      <c r="Q91" s="9"/>
      <c r="R91" s="9"/>
    </row>
    <row r="92" spans="1:20" s="40" customFormat="1" x14ac:dyDescent="0.3">
      <c r="A92" s="40" t="s">
        <v>185</v>
      </c>
      <c r="B92" s="40" t="s">
        <v>10</v>
      </c>
      <c r="C92" s="47" t="s">
        <v>186</v>
      </c>
      <c r="D92" s="44">
        <v>18727</v>
      </c>
      <c r="E92" s="51"/>
      <c r="F92" s="71">
        <f>D92</f>
        <v>18727</v>
      </c>
      <c r="G92" s="89">
        <v>153.5</v>
      </c>
      <c r="H92" s="59"/>
      <c r="I92" s="51">
        <f>G92*125</f>
        <v>19187.5</v>
      </c>
      <c r="J92" s="51">
        <f>I92*0.05</f>
        <v>959.375</v>
      </c>
      <c r="K92" s="78">
        <f>J92+I92</f>
        <v>20146.875</v>
      </c>
      <c r="L92" s="59">
        <v>42247</v>
      </c>
      <c r="M92" s="88">
        <f>K92</f>
        <v>20146.875</v>
      </c>
      <c r="N92" s="59">
        <v>42277</v>
      </c>
      <c r="O92" s="75">
        <v>18727</v>
      </c>
      <c r="P92" s="59">
        <v>42277</v>
      </c>
      <c r="Q92" s="9">
        <f>J92</f>
        <v>959.375</v>
      </c>
      <c r="R92" s="9"/>
      <c r="S92" s="9">
        <f>Q92-R92</f>
        <v>959.375</v>
      </c>
      <c r="T92" s="40">
        <f>3*G92</f>
        <v>460.5</v>
      </c>
    </row>
    <row r="93" spans="1:20" s="40" customFormat="1" x14ac:dyDescent="0.3">
      <c r="A93" s="40" t="s">
        <v>185</v>
      </c>
      <c r="B93" s="5" t="s">
        <v>25</v>
      </c>
      <c r="C93" s="48"/>
      <c r="D93" s="57">
        <f>SUM(D91:D92)</f>
        <v>20473.75</v>
      </c>
      <c r="E93" s="49">
        <f>SUM(E91:E92)</f>
        <v>0</v>
      </c>
      <c r="F93" s="70">
        <f>SUM(F91:F92)</f>
        <v>20473.75</v>
      </c>
      <c r="G93" s="93">
        <f>SUM(G91:G92)</f>
        <v>166.25</v>
      </c>
      <c r="H93" s="54"/>
      <c r="I93" s="49">
        <f>SUM(I91:I92)</f>
        <v>20972.5</v>
      </c>
      <c r="J93" s="49">
        <f>SUM(J91:J92)</f>
        <v>1048.625</v>
      </c>
      <c r="K93" s="81">
        <f>SUM(K91:K92)</f>
        <v>22021.125</v>
      </c>
      <c r="L93" s="58"/>
      <c r="M93" s="86">
        <f>SUM(M91:M92)</f>
        <v>22021.125</v>
      </c>
      <c r="N93" s="58"/>
      <c r="O93" s="76">
        <f>SUM(O91:O92)</f>
        <v>20473.75</v>
      </c>
      <c r="P93" s="58"/>
      <c r="Q93" s="49">
        <f>SUM(Q91:Q92)</f>
        <v>959.375</v>
      </c>
      <c r="R93" s="49">
        <f>SUM(R91:R92)</f>
        <v>0</v>
      </c>
      <c r="S93" s="49">
        <f>SUM(S91:S92)</f>
        <v>959.375</v>
      </c>
      <c r="T93" s="10">
        <f>SUM(T91:T92)</f>
        <v>460.5</v>
      </c>
    </row>
    <row r="94" spans="1:20" s="40" customFormat="1" x14ac:dyDescent="0.3">
      <c r="A94" s="40" t="s">
        <v>187</v>
      </c>
      <c r="B94" s="40" t="s">
        <v>10</v>
      </c>
      <c r="C94" s="47" t="s">
        <v>188</v>
      </c>
      <c r="D94" s="44">
        <f>122*G94</f>
        <v>19184.5</v>
      </c>
      <c r="E94" s="51"/>
      <c r="F94" s="71">
        <f>D94</f>
        <v>19184.5</v>
      </c>
      <c r="G94" s="89">
        <v>157.25</v>
      </c>
      <c r="H94" s="59" t="s">
        <v>191</v>
      </c>
      <c r="I94" s="51">
        <f>G94*125</f>
        <v>19656.25</v>
      </c>
      <c r="J94" s="51">
        <f>I94*0.05</f>
        <v>982.8125</v>
      </c>
      <c r="K94" s="78">
        <f>J94+I94</f>
        <v>20639.0625</v>
      </c>
      <c r="L94" s="59" t="s">
        <v>191</v>
      </c>
      <c r="M94" s="88">
        <f>K94</f>
        <v>20639.0625</v>
      </c>
      <c r="N94" s="59">
        <v>42307</v>
      </c>
      <c r="O94" s="75">
        <f>F94</f>
        <v>19184.5</v>
      </c>
      <c r="P94" s="59">
        <v>42317</v>
      </c>
      <c r="Q94" s="9">
        <f>J94</f>
        <v>982.8125</v>
      </c>
      <c r="R94" s="9"/>
      <c r="S94" s="9">
        <f>Q94-R94</f>
        <v>982.8125</v>
      </c>
      <c r="T94" s="40">
        <f>3*G94</f>
        <v>471.75</v>
      </c>
    </row>
    <row r="95" spans="1:20" s="40" customFormat="1" x14ac:dyDescent="0.3">
      <c r="A95" s="40" t="s">
        <v>187</v>
      </c>
      <c r="B95" s="40" t="s">
        <v>28</v>
      </c>
      <c r="C95" s="47"/>
      <c r="D95" s="44"/>
      <c r="E95" s="51"/>
      <c r="F95" s="71"/>
      <c r="G95" s="89"/>
      <c r="H95" s="59"/>
      <c r="I95" s="51"/>
      <c r="J95" s="51">
        <f>I95*0.05</f>
        <v>0</v>
      </c>
      <c r="K95" s="78">
        <f>J95+I95</f>
        <v>0</v>
      </c>
      <c r="L95" s="59"/>
      <c r="M95" s="88"/>
      <c r="N95" s="64"/>
      <c r="O95" s="75"/>
      <c r="P95" s="59"/>
      <c r="Q95" s="9"/>
      <c r="R95" s="9"/>
      <c r="S95" s="9"/>
    </row>
    <row r="96" spans="1:20" s="40" customFormat="1" x14ac:dyDescent="0.3">
      <c r="A96" s="40" t="s">
        <v>187</v>
      </c>
      <c r="B96" s="5" t="s">
        <v>25</v>
      </c>
      <c r="C96" s="48"/>
      <c r="D96" s="57">
        <f>SUM(D93:D94)</f>
        <v>39658.25</v>
      </c>
      <c r="E96" s="49">
        <f>SUM(E93:E94)</f>
        <v>0</v>
      </c>
      <c r="F96" s="70">
        <f>SUM(F93:F94)</f>
        <v>39658.25</v>
      </c>
      <c r="G96" s="93">
        <f>SUM(G93:G94)</f>
        <v>323.5</v>
      </c>
      <c r="H96" s="54"/>
      <c r="I96" s="49">
        <f>SUM(I93:I94)</f>
        <v>40628.75</v>
      </c>
      <c r="J96" s="49">
        <f>SUM(J93:J94)</f>
        <v>2031.4375</v>
      </c>
      <c r="K96" s="81">
        <f>SUM(K93:K94)</f>
        <v>42660.1875</v>
      </c>
      <c r="L96" s="58"/>
      <c r="M96" s="86">
        <f>SUM(M93:M94)</f>
        <v>42660.1875</v>
      </c>
      <c r="N96" s="58"/>
      <c r="O96" s="76">
        <f>SUM(O93:O94)</f>
        <v>39658.25</v>
      </c>
      <c r="P96" s="58"/>
      <c r="Q96" s="49">
        <f>SUM(Q93:Q94)</f>
        <v>1942.1875</v>
      </c>
      <c r="R96" s="49">
        <f>SUM(R93:R94)</f>
        <v>0</v>
      </c>
      <c r="S96" s="49">
        <f>SUM(S93:S94)</f>
        <v>1942.1875</v>
      </c>
      <c r="T96" s="10">
        <f>SUM(T93:T94)</f>
        <v>932.25</v>
      </c>
    </row>
    <row r="97" spans="1:20" s="40" customFormat="1" x14ac:dyDescent="0.3">
      <c r="A97" s="40" t="s">
        <v>193</v>
      </c>
      <c r="B97" s="40" t="s">
        <v>10</v>
      </c>
      <c r="C97" s="47" t="s">
        <v>190</v>
      </c>
      <c r="D97" s="44">
        <f>122*G97</f>
        <v>19489.5</v>
      </c>
      <c r="E97" s="51"/>
      <c r="F97" s="71">
        <f>D97</f>
        <v>19489.5</v>
      </c>
      <c r="G97" s="89">
        <v>159.75</v>
      </c>
      <c r="H97" s="59" t="s">
        <v>192</v>
      </c>
      <c r="I97" s="51">
        <f>G97*125</f>
        <v>19968.75</v>
      </c>
      <c r="J97" s="51">
        <f>I97*0.05</f>
        <v>998.4375</v>
      </c>
      <c r="K97" s="78">
        <f>J97+I97</f>
        <v>20967.1875</v>
      </c>
      <c r="L97" s="59" t="s">
        <v>192</v>
      </c>
      <c r="M97" s="88"/>
      <c r="N97" s="64"/>
      <c r="O97" s="75"/>
      <c r="P97" s="59"/>
      <c r="Q97" s="9">
        <f>J97</f>
        <v>998.4375</v>
      </c>
      <c r="R97" s="9"/>
      <c r="S97" s="9">
        <f>Q97-R97</f>
        <v>998.4375</v>
      </c>
      <c r="T97" s="40">
        <f>3*G97</f>
        <v>479.25</v>
      </c>
    </row>
    <row r="98" spans="1:20" s="40" customFormat="1" x14ac:dyDescent="0.3">
      <c r="A98" s="40" t="s">
        <v>193</v>
      </c>
      <c r="B98" s="40" t="s">
        <v>28</v>
      </c>
      <c r="C98" s="98"/>
      <c r="D98" s="44"/>
      <c r="E98" s="51"/>
      <c r="F98" s="71"/>
      <c r="G98" s="89"/>
      <c r="H98" s="59"/>
      <c r="I98" s="51"/>
      <c r="J98" s="51">
        <f>I98*0.05</f>
        <v>0</v>
      </c>
      <c r="K98" s="78">
        <f>J98+I98</f>
        <v>0</v>
      </c>
      <c r="L98" s="59"/>
      <c r="M98" s="88"/>
      <c r="N98" s="64"/>
      <c r="O98" s="75"/>
      <c r="P98" s="59"/>
      <c r="Q98" s="9"/>
      <c r="R98" s="9"/>
      <c r="S98" s="9"/>
    </row>
    <row r="99" spans="1:20" s="40" customFormat="1" x14ac:dyDescent="0.3">
      <c r="A99" s="40" t="s">
        <v>193</v>
      </c>
      <c r="B99" s="5" t="s">
        <v>25</v>
      </c>
      <c r="C99" s="48"/>
      <c r="D99" s="57">
        <f>SUM(D96:D97)</f>
        <v>59147.75</v>
      </c>
      <c r="E99" s="49">
        <f>SUM(E96:E97)</f>
        <v>0</v>
      </c>
      <c r="F99" s="70">
        <f>SUM(F96:F97)</f>
        <v>59147.75</v>
      </c>
      <c r="G99" s="93">
        <f>SUM(G96:G97)</f>
        <v>483.25</v>
      </c>
      <c r="H99" s="54"/>
      <c r="I99" s="49">
        <f>SUM(I96:I97)</f>
        <v>60597.5</v>
      </c>
      <c r="J99" s="49">
        <f>SUM(J96:J97)</f>
        <v>3029.875</v>
      </c>
      <c r="K99" s="81">
        <f>SUM(K96:K97)</f>
        <v>63627.375</v>
      </c>
      <c r="L99" s="58"/>
      <c r="M99" s="86">
        <f>SUM(M96:M97)</f>
        <v>42660.1875</v>
      </c>
      <c r="N99" s="58"/>
      <c r="O99" s="76">
        <f>SUM(O96:O97)</f>
        <v>39658.25</v>
      </c>
      <c r="P99" s="58"/>
      <c r="Q99" s="49">
        <f>SUM(Q96:Q97)</f>
        <v>2940.625</v>
      </c>
      <c r="R99" s="49">
        <f>SUM(R96:R97)</f>
        <v>0</v>
      </c>
      <c r="S99" s="49">
        <f>SUM(S96:S97)</f>
        <v>2940.625</v>
      </c>
      <c r="T99" s="10">
        <f>SUM(T96:T97)</f>
        <v>1411.5</v>
      </c>
    </row>
  </sheetData>
  <mergeCells count="4">
    <mergeCell ref="I1:L1"/>
    <mergeCell ref="M1:N1"/>
    <mergeCell ref="O1:P1"/>
    <mergeCell ref="D1:H1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4" workbookViewId="0">
      <selection activeCell="A19" sqref="A19"/>
    </sheetView>
  </sheetViews>
  <sheetFormatPr defaultRowHeight="14.4" x14ac:dyDescent="0.3"/>
  <cols>
    <col min="1" max="1" width="1.44140625" customWidth="1"/>
    <col min="2" max="2" width="11.88671875" customWidth="1"/>
    <col min="3" max="3" width="1.33203125" style="13" customWidth="1"/>
    <col min="4" max="4" width="12.33203125" customWidth="1"/>
    <col min="5" max="5" width="12.33203125" style="9" customWidth="1"/>
    <col min="6" max="7" width="2.33203125" style="13" customWidth="1"/>
    <col min="8" max="8" width="12.109375" style="9" customWidth="1"/>
    <col min="9" max="10" width="1.44140625" style="13" customWidth="1"/>
    <col min="11" max="11" width="8.6640625" style="23" customWidth="1"/>
    <col min="12" max="12" width="10.33203125" style="23" bestFit="1" customWidth="1"/>
    <col min="13" max="13" width="10.44140625" style="23" customWidth="1"/>
    <col min="14" max="14" width="12.33203125" style="9" bestFit="1" customWidth="1"/>
    <col min="15" max="15" width="14.33203125" style="9" bestFit="1" customWidth="1"/>
    <col min="16" max="16" width="2.6640625" customWidth="1"/>
    <col min="17" max="17" width="12.33203125" customWidth="1"/>
    <col min="18" max="18" width="12.33203125" bestFit="1" customWidth="1"/>
  </cols>
  <sheetData>
    <row r="1" spans="1:18" ht="100.8" x14ac:dyDescent="0.3">
      <c r="A1" s="11" t="s">
        <v>32</v>
      </c>
      <c r="B1" s="11" t="s">
        <v>36</v>
      </c>
      <c r="C1" s="12" t="s">
        <v>41</v>
      </c>
      <c r="D1" s="11" t="s">
        <v>50</v>
      </c>
      <c r="E1" s="18" t="s">
        <v>38</v>
      </c>
      <c r="F1" s="12" t="s">
        <v>39</v>
      </c>
      <c r="G1" s="12" t="s">
        <v>44</v>
      </c>
      <c r="H1" s="18" t="s">
        <v>40</v>
      </c>
      <c r="I1" s="12" t="s">
        <v>42</v>
      </c>
      <c r="J1" s="12" t="s">
        <v>43</v>
      </c>
      <c r="K1" s="22" t="s">
        <v>34</v>
      </c>
      <c r="L1" s="22" t="s">
        <v>35</v>
      </c>
      <c r="M1" s="22" t="s">
        <v>67</v>
      </c>
      <c r="N1" s="18" t="s">
        <v>55</v>
      </c>
      <c r="O1" s="18" t="s">
        <v>47</v>
      </c>
      <c r="Q1" s="21" t="s">
        <v>72</v>
      </c>
      <c r="R1" s="21" t="s">
        <v>66</v>
      </c>
    </row>
    <row r="3" spans="1:18" x14ac:dyDescent="0.3">
      <c r="A3" t="s">
        <v>33</v>
      </c>
      <c r="B3" t="s">
        <v>37</v>
      </c>
      <c r="C3" s="13" t="s">
        <v>2</v>
      </c>
      <c r="D3">
        <v>4501307623</v>
      </c>
      <c r="E3" s="9">
        <v>178</v>
      </c>
      <c r="H3" s="9">
        <v>175</v>
      </c>
      <c r="K3" s="23" t="s">
        <v>45</v>
      </c>
      <c r="L3" s="23" t="s">
        <v>46</v>
      </c>
      <c r="M3" s="23">
        <v>42124</v>
      </c>
      <c r="N3" s="9">
        <v>227128</v>
      </c>
      <c r="O3" s="9">
        <v>534712</v>
      </c>
      <c r="Q3" s="9">
        <f>361136+SUM('2015 Fiscal Year'!M16)</f>
        <v>388610.3</v>
      </c>
      <c r="R3" s="9">
        <f t="shared" ref="R3:R10" si="0">O3-Q3</f>
        <v>146101.70000000001</v>
      </c>
    </row>
    <row r="4" spans="1:18" x14ac:dyDescent="0.3">
      <c r="A4" s="16" t="s">
        <v>33</v>
      </c>
      <c r="B4" s="16" t="s">
        <v>48</v>
      </c>
      <c r="C4" s="17" t="s">
        <v>49</v>
      </c>
      <c r="D4" s="16">
        <v>4501364873</v>
      </c>
      <c r="E4" s="19">
        <v>143</v>
      </c>
      <c r="F4" s="17"/>
      <c r="G4" s="17"/>
      <c r="H4" s="19">
        <v>140</v>
      </c>
      <c r="I4" s="17"/>
      <c r="J4" s="17"/>
      <c r="K4" s="24" t="s">
        <v>53</v>
      </c>
      <c r="L4" s="24" t="s">
        <v>54</v>
      </c>
      <c r="M4" s="23">
        <v>42094</v>
      </c>
      <c r="N4" s="19">
        <v>425160</v>
      </c>
      <c r="O4" s="19">
        <v>1141013</v>
      </c>
      <c r="Q4" s="9">
        <f>776574.12+SUM('2015 Fiscal Year'!M18+'2015 Fiscal Year'!M19+'2015 Fiscal Year'!M20+'2015 Fiscal Year'!M21)</f>
        <v>842351.42999999993</v>
      </c>
      <c r="R4" s="9">
        <f t="shared" si="0"/>
        <v>298661.57000000007</v>
      </c>
    </row>
    <row r="5" spans="1:18" x14ac:dyDescent="0.3">
      <c r="A5" s="16" t="s">
        <v>33</v>
      </c>
      <c r="B5" s="16" t="s">
        <v>51</v>
      </c>
      <c r="C5" s="17"/>
      <c r="D5" s="16">
        <v>4501364873</v>
      </c>
      <c r="E5" s="19">
        <v>133</v>
      </c>
      <c r="F5" s="17"/>
      <c r="G5" s="17"/>
      <c r="H5" s="19">
        <v>130</v>
      </c>
      <c r="I5" s="17"/>
      <c r="J5" s="17"/>
      <c r="K5" s="24" t="s">
        <v>53</v>
      </c>
      <c r="L5" s="24" t="s">
        <v>54</v>
      </c>
      <c r="M5" s="23">
        <v>42124</v>
      </c>
      <c r="N5" s="19"/>
      <c r="O5" s="19"/>
      <c r="Q5" s="9"/>
      <c r="R5" s="9">
        <f t="shared" si="0"/>
        <v>0</v>
      </c>
    </row>
    <row r="6" spans="1:18" x14ac:dyDescent="0.3">
      <c r="A6" s="16" t="s">
        <v>33</v>
      </c>
      <c r="B6" s="16" t="s">
        <v>52</v>
      </c>
      <c r="C6" s="17"/>
      <c r="D6" s="16">
        <v>4501364873</v>
      </c>
      <c r="E6" s="19">
        <v>128</v>
      </c>
      <c r="F6" s="17"/>
      <c r="G6" s="17"/>
      <c r="H6" s="19">
        <v>125</v>
      </c>
      <c r="I6" s="17"/>
      <c r="J6" s="17"/>
      <c r="K6" s="24" t="s">
        <v>53</v>
      </c>
      <c r="L6" s="24" t="s">
        <v>54</v>
      </c>
      <c r="M6" s="24">
        <v>42124</v>
      </c>
      <c r="N6" s="19"/>
      <c r="O6" s="19"/>
      <c r="Q6" s="9"/>
      <c r="R6" s="9">
        <f t="shared" si="0"/>
        <v>0</v>
      </c>
    </row>
    <row r="7" spans="1:18" s="14" customFormat="1" x14ac:dyDescent="0.3">
      <c r="A7" s="14" t="s">
        <v>33</v>
      </c>
      <c r="B7" s="14" t="s">
        <v>56</v>
      </c>
      <c r="C7" s="15"/>
      <c r="D7" s="14">
        <v>4501407836</v>
      </c>
      <c r="E7" s="20">
        <v>128</v>
      </c>
      <c r="F7" s="15"/>
      <c r="G7" s="15"/>
      <c r="H7" s="20">
        <v>125</v>
      </c>
      <c r="I7" s="15"/>
      <c r="J7" s="15"/>
      <c r="K7" s="25" t="s">
        <v>57</v>
      </c>
      <c r="L7" s="25" t="s">
        <v>58</v>
      </c>
      <c r="M7" s="23">
        <v>42018</v>
      </c>
      <c r="N7" s="20">
        <v>101000</v>
      </c>
      <c r="O7" s="20">
        <f>N7+89600</f>
        <v>190600</v>
      </c>
      <c r="Q7" s="9">
        <f>170214.55+SUM('2015 Fiscal Year'!M22)</f>
        <v>185132.94999999998</v>
      </c>
      <c r="R7" s="9">
        <f t="shared" si="0"/>
        <v>5467.0500000000175</v>
      </c>
    </row>
    <row r="8" spans="1:18" x14ac:dyDescent="0.3">
      <c r="A8" s="16" t="s">
        <v>33</v>
      </c>
      <c r="B8" s="16" t="s">
        <v>63</v>
      </c>
      <c r="C8" s="17"/>
      <c r="D8" s="16">
        <v>4501395482</v>
      </c>
      <c r="E8" s="19">
        <v>103</v>
      </c>
      <c r="F8" s="17"/>
      <c r="G8" s="17"/>
      <c r="H8" s="19">
        <v>100</v>
      </c>
      <c r="I8" s="17"/>
      <c r="J8" s="17"/>
      <c r="K8" s="26">
        <v>41764</v>
      </c>
      <c r="L8" s="24" t="s">
        <v>64</v>
      </c>
      <c r="M8" s="23">
        <v>42035</v>
      </c>
      <c r="N8" s="19">
        <v>89610</v>
      </c>
      <c r="O8" s="19">
        <f>N8</f>
        <v>89610</v>
      </c>
      <c r="Q8" s="9">
        <f>68907+SUM('2015 Fiscal Year'!M23)</f>
        <v>86211</v>
      </c>
      <c r="R8" s="9">
        <f t="shared" si="0"/>
        <v>3399</v>
      </c>
    </row>
    <row r="9" spans="1:18" x14ac:dyDescent="0.3">
      <c r="A9" s="14" t="s">
        <v>33</v>
      </c>
      <c r="B9" s="14" t="s">
        <v>59</v>
      </c>
      <c r="C9" s="15" t="s">
        <v>60</v>
      </c>
      <c r="D9" s="14">
        <v>4501418171</v>
      </c>
      <c r="E9" s="20">
        <v>128</v>
      </c>
      <c r="F9" s="15"/>
      <c r="G9" s="15"/>
      <c r="H9" s="20">
        <v>125</v>
      </c>
      <c r="I9" s="15"/>
      <c r="J9" s="15"/>
      <c r="K9" s="25" t="s">
        <v>61</v>
      </c>
      <c r="L9" s="25">
        <v>41958</v>
      </c>
      <c r="M9" s="24">
        <f>L9</f>
        <v>41958</v>
      </c>
      <c r="N9" s="20">
        <v>117640</v>
      </c>
      <c r="O9" s="20">
        <f>N9</f>
        <v>117640</v>
      </c>
      <c r="Q9" s="9">
        <f>106319+SUM('2015 Fiscal Year'!M24+'2015 Fiscal Year'!M25)</f>
        <v>126210.2</v>
      </c>
      <c r="R9" s="9">
        <f t="shared" si="0"/>
        <v>-8570.1999999999971</v>
      </c>
    </row>
    <row r="10" spans="1:18" x14ac:dyDescent="0.3">
      <c r="A10" s="16" t="s">
        <v>33</v>
      </c>
      <c r="B10" s="16" t="s">
        <v>62</v>
      </c>
      <c r="C10" s="17"/>
      <c r="D10" s="16">
        <v>4501418159</v>
      </c>
      <c r="E10" s="19">
        <v>110</v>
      </c>
      <c r="F10" s="17"/>
      <c r="G10" s="17"/>
      <c r="H10" s="19">
        <v>107</v>
      </c>
      <c r="I10" s="17"/>
      <c r="J10" s="17"/>
      <c r="K10" s="24" t="s">
        <v>61</v>
      </c>
      <c r="L10" s="25">
        <v>41958</v>
      </c>
      <c r="M10" s="24">
        <f t="shared" ref="M10:M12" si="1">L10</f>
        <v>41958</v>
      </c>
      <c r="N10" s="19">
        <v>96800</v>
      </c>
      <c r="O10" s="19">
        <f>N10</f>
        <v>96800</v>
      </c>
      <c r="Q10" s="9">
        <f>88716+SUM('2015 Fiscal Year'!M26)</f>
        <v>106849.5</v>
      </c>
      <c r="R10" s="9">
        <f t="shared" si="0"/>
        <v>-10049.5</v>
      </c>
    </row>
    <row r="11" spans="1:18" x14ac:dyDescent="0.3">
      <c r="A11" s="14" t="s">
        <v>70</v>
      </c>
      <c r="B11" s="14" t="s">
        <v>71</v>
      </c>
      <c r="C11" s="13" t="s">
        <v>2</v>
      </c>
      <c r="D11">
        <v>49794</v>
      </c>
      <c r="E11" s="9">
        <v>150</v>
      </c>
      <c r="H11" s="9">
        <v>147</v>
      </c>
      <c r="K11" s="23">
        <v>42339</v>
      </c>
      <c r="L11" s="23">
        <v>42155</v>
      </c>
      <c r="M11" s="24">
        <f t="shared" si="1"/>
        <v>42155</v>
      </c>
      <c r="N11" s="20">
        <f>160*6*153*0.25</f>
        <v>36720</v>
      </c>
      <c r="O11" s="20">
        <f>N11</f>
        <v>36720</v>
      </c>
      <c r="Q11" s="9">
        <f>'2015 Fiscal Year'!M4+'2015 Fiscal Year'!M17</f>
        <v>39886.89</v>
      </c>
      <c r="R11" s="9">
        <f>(O11+O12)-(Q11+Q12)</f>
        <v>59906.22</v>
      </c>
    </row>
    <row r="12" spans="1:18" x14ac:dyDescent="0.3">
      <c r="A12" s="14" t="s">
        <v>70</v>
      </c>
      <c r="B12" s="16" t="s">
        <v>71</v>
      </c>
      <c r="C12" s="17" t="s">
        <v>2</v>
      </c>
      <c r="D12" s="16">
        <v>50156</v>
      </c>
      <c r="E12" s="19">
        <v>140</v>
      </c>
      <c r="F12" s="17"/>
      <c r="G12" s="17"/>
      <c r="H12" s="19">
        <v>137</v>
      </c>
      <c r="I12" s="17"/>
      <c r="J12" s="17"/>
      <c r="K12" s="24">
        <v>42009</v>
      </c>
      <c r="L12" s="24">
        <v>42185</v>
      </c>
      <c r="M12" s="24">
        <f t="shared" si="1"/>
        <v>42185</v>
      </c>
      <c r="N12" s="19">
        <f>6*160*143*0.75</f>
        <v>102960</v>
      </c>
      <c r="O12" s="19">
        <f>N12</f>
        <v>102960</v>
      </c>
      <c r="Q12" s="9">
        <f>'2015 Fiscal Year'!M4+'2015 Fiscal Year'!M17</f>
        <v>39886.89</v>
      </c>
      <c r="R12" s="9">
        <f>(O11+O12)-(Q11+Q12)</f>
        <v>59906.22</v>
      </c>
    </row>
  </sheetData>
  <conditionalFormatting sqref="M3:M12">
    <cfRule type="cellIs" dxfId="8" priority="1" stopIfTrue="1" operator="lessThan">
      <formula>TODAY()</formula>
    </cfRule>
    <cfRule type="cellIs" dxfId="7" priority="5" stopIfTrue="1" operator="lessThan">
      <formula>TODAY()+30</formula>
    </cfRule>
    <cfRule type="cellIs" dxfId="6" priority="7" operator="greaterThan">
      <formula>TODAY()</formula>
    </cfRule>
  </conditionalFormatting>
  <conditionalFormatting sqref="R3:R12">
    <cfRule type="cellIs" dxfId="5" priority="2" stopIfTrue="1" operator="lessThan">
      <formula>20000</formula>
    </cfRule>
    <cfRule type="cellIs" dxfId="4" priority="3" stopIfTrue="1" operator="between">
      <formula>30000</formula>
      <formula>20000</formula>
    </cfRule>
    <cfRule type="cellIs" dxfId="3" priority="4" stopIfTrue="1" operator="greaterThanOrEqual">
      <formula>30000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24" sqref="I24"/>
    </sheetView>
  </sheetViews>
  <sheetFormatPr defaultRowHeight="14.4" outlineLevelRow="1" x14ac:dyDescent="0.3"/>
  <cols>
    <col min="1" max="1" width="8.6640625" customWidth="1"/>
    <col min="2" max="2" width="14.44140625" customWidth="1"/>
    <col min="3" max="4" width="14.109375" customWidth="1"/>
    <col min="5" max="5" width="14" customWidth="1"/>
    <col min="6" max="6" width="9.6640625" bestFit="1" customWidth="1"/>
  </cols>
  <sheetData>
    <row r="1" spans="1:12" ht="43.2" x14ac:dyDescent="0.3">
      <c r="A1" s="30" t="s">
        <v>73</v>
      </c>
      <c r="B1" s="30" t="s">
        <v>74</v>
      </c>
      <c r="C1" s="30" t="s">
        <v>75</v>
      </c>
      <c r="D1" s="30" t="s">
        <v>76</v>
      </c>
      <c r="E1" s="30" t="s">
        <v>92</v>
      </c>
      <c r="F1" s="30" t="s">
        <v>81</v>
      </c>
    </row>
    <row r="2" spans="1:12" x14ac:dyDescent="0.3">
      <c r="A2" t="s">
        <v>24</v>
      </c>
      <c r="B2" t="s">
        <v>80</v>
      </c>
      <c r="C2" s="29">
        <v>4501418171</v>
      </c>
      <c r="D2" s="28">
        <v>41974</v>
      </c>
      <c r="E2" s="9">
        <v>25267.200000000001</v>
      </c>
      <c r="F2" s="28">
        <v>41988</v>
      </c>
      <c r="G2" s="36" t="s">
        <v>88</v>
      </c>
    </row>
    <row r="3" spans="1:12" x14ac:dyDescent="0.3">
      <c r="A3" t="s">
        <v>24</v>
      </c>
      <c r="B3" t="s">
        <v>79</v>
      </c>
      <c r="C3" s="29">
        <v>4501418171</v>
      </c>
      <c r="D3" s="28">
        <v>41974</v>
      </c>
      <c r="E3" s="9">
        <v>2075.7399999999998</v>
      </c>
      <c r="F3" s="28">
        <v>41988</v>
      </c>
      <c r="G3" s="36" t="s">
        <v>88</v>
      </c>
    </row>
    <row r="4" spans="1:12" x14ac:dyDescent="0.3">
      <c r="A4" t="s">
        <v>24</v>
      </c>
      <c r="B4" t="s">
        <v>83</v>
      </c>
      <c r="C4" s="29">
        <v>4501418159</v>
      </c>
      <c r="D4" s="28">
        <v>41974</v>
      </c>
      <c r="E4" s="9">
        <v>23793</v>
      </c>
      <c r="F4" s="28">
        <v>41988</v>
      </c>
      <c r="G4" s="36" t="s">
        <v>88</v>
      </c>
    </row>
    <row r="5" spans="1:12" x14ac:dyDescent="0.3">
      <c r="A5" t="s">
        <v>24</v>
      </c>
      <c r="B5" t="s">
        <v>82</v>
      </c>
      <c r="C5" s="29">
        <v>4501364873</v>
      </c>
      <c r="D5" s="28">
        <v>41975</v>
      </c>
      <c r="E5" s="9">
        <v>25132.799999999999</v>
      </c>
      <c r="F5" s="28">
        <v>41989</v>
      </c>
      <c r="G5" s="36" t="s">
        <v>88</v>
      </c>
    </row>
    <row r="6" spans="1:12" x14ac:dyDescent="0.3">
      <c r="C6" s="29"/>
      <c r="D6" s="37" t="s">
        <v>87</v>
      </c>
      <c r="E6" s="35">
        <f>SUM(E2:E5)</f>
        <v>76268.740000000005</v>
      </c>
      <c r="F6" s="28"/>
      <c r="G6" s="32"/>
    </row>
    <row r="7" spans="1:12" x14ac:dyDescent="0.3">
      <c r="C7" s="29"/>
      <c r="D7" s="28"/>
      <c r="E7" s="9"/>
      <c r="F7" s="28"/>
      <c r="G7" s="32"/>
    </row>
    <row r="8" spans="1:12" x14ac:dyDescent="0.3">
      <c r="A8" t="s">
        <v>24</v>
      </c>
      <c r="B8" t="s">
        <v>77</v>
      </c>
      <c r="C8">
        <v>4501364873</v>
      </c>
      <c r="D8" s="28">
        <v>41997</v>
      </c>
      <c r="E8" s="9">
        <v>1434.83</v>
      </c>
      <c r="F8" s="28">
        <v>42016</v>
      </c>
      <c r="G8" s="32" t="s">
        <v>85</v>
      </c>
    </row>
    <row r="9" spans="1:12" x14ac:dyDescent="0.3">
      <c r="A9" t="s">
        <v>24</v>
      </c>
      <c r="B9" t="s">
        <v>78</v>
      </c>
      <c r="C9" s="29">
        <v>4501407836</v>
      </c>
      <c r="D9" s="28">
        <v>41997</v>
      </c>
      <c r="E9" s="9">
        <v>2272.08</v>
      </c>
      <c r="F9" s="28">
        <v>42016</v>
      </c>
      <c r="G9" s="32" t="s">
        <v>85</v>
      </c>
    </row>
    <row r="10" spans="1:12" x14ac:dyDescent="0.3">
      <c r="A10" t="s">
        <v>26</v>
      </c>
      <c r="B10" t="s">
        <v>93</v>
      </c>
      <c r="C10">
        <v>4501364873</v>
      </c>
      <c r="D10" s="28">
        <v>41997</v>
      </c>
      <c r="E10" s="9">
        <v>1792.4</v>
      </c>
      <c r="F10" s="28">
        <v>42016</v>
      </c>
      <c r="G10" s="32" t="s">
        <v>85</v>
      </c>
      <c r="H10" s="9"/>
      <c r="I10" s="9"/>
    </row>
    <row r="11" spans="1:12" x14ac:dyDescent="0.3">
      <c r="C11" s="29"/>
      <c r="D11" s="34" t="s">
        <v>86</v>
      </c>
      <c r="E11" s="38">
        <f>SUM(E8:E10)</f>
        <v>5499.3099999999995</v>
      </c>
      <c r="F11" s="28"/>
    </row>
    <row r="13" spans="1:12" x14ac:dyDescent="0.3">
      <c r="A13" t="s">
        <v>26</v>
      </c>
      <c r="B13" t="s">
        <v>84</v>
      </c>
      <c r="C13">
        <v>4501307623</v>
      </c>
      <c r="D13" s="28">
        <v>42009</v>
      </c>
      <c r="E13" s="9">
        <v>27474.3</v>
      </c>
      <c r="F13" s="31">
        <v>42023</v>
      </c>
      <c r="G13" t="s">
        <v>89</v>
      </c>
      <c r="H13" s="9"/>
      <c r="I13" s="9"/>
      <c r="K13" s="9"/>
      <c r="L13" s="3"/>
    </row>
    <row r="14" spans="1:12" x14ac:dyDescent="0.3">
      <c r="A14" t="s">
        <v>26</v>
      </c>
      <c r="B14" t="s">
        <v>90</v>
      </c>
      <c r="C14">
        <v>4501364873</v>
      </c>
      <c r="D14" s="28">
        <v>42009</v>
      </c>
      <c r="E14" s="9">
        <v>17492.48</v>
      </c>
      <c r="F14" s="31">
        <v>42023</v>
      </c>
      <c r="G14" t="s">
        <v>89</v>
      </c>
      <c r="H14" s="9"/>
      <c r="I14" s="9"/>
    </row>
    <row r="15" spans="1:12" x14ac:dyDescent="0.3">
      <c r="A15" t="s">
        <v>26</v>
      </c>
      <c r="B15" t="s">
        <v>91</v>
      </c>
      <c r="C15">
        <v>4501364873</v>
      </c>
      <c r="D15" s="28">
        <v>42009</v>
      </c>
      <c r="E15" s="9">
        <v>22972.43</v>
      </c>
      <c r="F15" s="31">
        <v>42023</v>
      </c>
      <c r="G15" t="s">
        <v>89</v>
      </c>
      <c r="H15" s="9"/>
      <c r="I15" s="9"/>
    </row>
    <row r="16" spans="1:12" x14ac:dyDescent="0.3">
      <c r="A16" t="s">
        <v>26</v>
      </c>
      <c r="B16" t="s">
        <v>95</v>
      </c>
      <c r="C16" s="29">
        <v>4501407836</v>
      </c>
      <c r="D16" s="28">
        <v>42009</v>
      </c>
      <c r="E16" s="9">
        <v>14918.4</v>
      </c>
      <c r="F16" s="31">
        <v>42023</v>
      </c>
      <c r="G16" t="s">
        <v>89</v>
      </c>
      <c r="H16" s="9"/>
      <c r="I16" s="9"/>
    </row>
    <row r="17" spans="1:12" x14ac:dyDescent="0.3">
      <c r="A17" t="s">
        <v>26</v>
      </c>
      <c r="B17" t="s">
        <v>96</v>
      </c>
      <c r="C17" s="29">
        <v>4501395482</v>
      </c>
      <c r="D17" s="28">
        <v>42009</v>
      </c>
      <c r="E17" s="9">
        <v>17304</v>
      </c>
      <c r="F17" s="31">
        <v>42023</v>
      </c>
      <c r="G17" t="s">
        <v>89</v>
      </c>
      <c r="H17" s="9"/>
      <c r="I17" s="9"/>
    </row>
    <row r="18" spans="1:12" x14ac:dyDescent="0.3">
      <c r="A18" t="s">
        <v>26</v>
      </c>
      <c r="B18" t="s">
        <v>97</v>
      </c>
      <c r="C18" s="29">
        <v>4501418171</v>
      </c>
      <c r="D18" s="28">
        <v>42009</v>
      </c>
      <c r="E18" s="9">
        <v>19891.2</v>
      </c>
      <c r="F18" s="31">
        <v>42023</v>
      </c>
      <c r="G18" t="s">
        <v>89</v>
      </c>
      <c r="H18" s="9"/>
      <c r="I18" s="9"/>
    </row>
    <row r="19" spans="1:12" outlineLevel="1" x14ac:dyDescent="0.3">
      <c r="A19" t="s">
        <v>26</v>
      </c>
      <c r="B19" t="s">
        <v>98</v>
      </c>
      <c r="C19" s="29">
        <v>4501418159</v>
      </c>
      <c r="D19" s="28">
        <v>42009</v>
      </c>
      <c r="E19" s="9">
        <v>18133.5</v>
      </c>
      <c r="F19" s="31">
        <v>42023</v>
      </c>
      <c r="G19" t="s">
        <v>89</v>
      </c>
      <c r="H19" s="9"/>
      <c r="I19" s="9"/>
      <c r="L19" s="3"/>
    </row>
    <row r="20" spans="1:12" outlineLevel="1" x14ac:dyDescent="0.3">
      <c r="C20" s="29"/>
      <c r="D20" s="33" t="s">
        <v>99</v>
      </c>
      <c r="E20" s="9">
        <f>SUM(E13:E19)</f>
        <v>138186.31</v>
      </c>
      <c r="F20" s="31"/>
      <c r="H20" s="9"/>
      <c r="I20" s="9"/>
      <c r="L20" s="3"/>
    </row>
    <row r="21" spans="1:12" outlineLevel="1" x14ac:dyDescent="0.3">
      <c r="C21" s="29"/>
      <c r="D21" s="28"/>
      <c r="E21" s="9"/>
      <c r="F21" s="31"/>
      <c r="H21" s="9"/>
      <c r="I21" s="9"/>
      <c r="L21" s="3"/>
    </row>
    <row r="22" spans="1:12" x14ac:dyDescent="0.3">
      <c r="A22" t="s">
        <v>26</v>
      </c>
      <c r="B22" t="s">
        <v>94</v>
      </c>
      <c r="C22" s="29">
        <v>4501364873</v>
      </c>
      <c r="D22" s="28">
        <v>42015</v>
      </c>
      <c r="E22" s="20">
        <v>23520</v>
      </c>
      <c r="F22" s="27">
        <v>42027</v>
      </c>
      <c r="G22" t="s">
        <v>89</v>
      </c>
      <c r="H22" s="9"/>
      <c r="I22" s="9"/>
    </row>
    <row r="23" spans="1:12" ht="13.5" customHeight="1" x14ac:dyDescent="0.3"/>
    <row r="25" spans="1:12" x14ac:dyDescent="0.3">
      <c r="E25" s="9">
        <f>SUM(E6+E11+E20)</f>
        <v>219954.36</v>
      </c>
    </row>
  </sheetData>
  <sortState ref="A2:I10">
    <sortCondition ref="D2:D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10" workbookViewId="0">
      <selection activeCell="A2" sqref="A2"/>
    </sheetView>
  </sheetViews>
  <sheetFormatPr defaultRowHeight="14.4" x14ac:dyDescent="0.3"/>
  <cols>
    <col min="12" max="12" width="10.33203125" customWidth="1"/>
  </cols>
  <sheetData>
    <row r="1" spans="1:18" ht="100.8" x14ac:dyDescent="0.3">
      <c r="A1" s="11" t="s">
        <v>32</v>
      </c>
      <c r="B1" s="11" t="s">
        <v>36</v>
      </c>
      <c r="C1" s="12" t="s">
        <v>41</v>
      </c>
      <c r="D1" s="11" t="s">
        <v>50</v>
      </c>
      <c r="E1" s="18" t="s">
        <v>38</v>
      </c>
      <c r="F1" s="12" t="s">
        <v>39</v>
      </c>
      <c r="G1" s="12" t="s">
        <v>44</v>
      </c>
      <c r="H1" s="18" t="s">
        <v>40</v>
      </c>
      <c r="I1" s="12" t="s">
        <v>42</v>
      </c>
      <c r="J1" s="12" t="s">
        <v>43</v>
      </c>
      <c r="K1" s="22" t="s">
        <v>34</v>
      </c>
      <c r="L1" s="22" t="s">
        <v>35</v>
      </c>
      <c r="M1" s="22" t="s">
        <v>67</v>
      </c>
      <c r="N1" s="18" t="s">
        <v>55</v>
      </c>
      <c r="O1" s="18" t="s">
        <v>47</v>
      </c>
      <c r="Q1" s="21" t="s">
        <v>65</v>
      </c>
      <c r="R1" s="21" t="s">
        <v>66</v>
      </c>
    </row>
    <row r="2" spans="1:18" x14ac:dyDescent="0.3">
      <c r="A2" s="14" t="s">
        <v>70</v>
      </c>
      <c r="B2" s="14" t="s">
        <v>71</v>
      </c>
      <c r="C2" s="13" t="s">
        <v>2</v>
      </c>
      <c r="D2" s="14">
        <v>49387</v>
      </c>
      <c r="E2" s="9">
        <v>150</v>
      </c>
      <c r="F2" s="13"/>
      <c r="G2" s="13"/>
      <c r="H2" s="9">
        <v>147</v>
      </c>
      <c r="I2" s="13"/>
      <c r="J2" s="13"/>
      <c r="K2" s="23">
        <v>41944</v>
      </c>
      <c r="L2" s="23">
        <v>41973</v>
      </c>
      <c r="M2" s="23"/>
      <c r="N2" s="9"/>
      <c r="O2" s="19">
        <f>N2</f>
        <v>0</v>
      </c>
      <c r="Q2" s="9"/>
      <c r="R2" s="9">
        <f>O2-Q2</f>
        <v>0</v>
      </c>
    </row>
    <row r="3" spans="1:18" x14ac:dyDescent="0.3">
      <c r="A3" s="14" t="s">
        <v>70</v>
      </c>
      <c r="B3" s="14" t="s">
        <v>71</v>
      </c>
      <c r="C3" s="13" t="s">
        <v>2</v>
      </c>
      <c r="D3" s="14">
        <v>49386</v>
      </c>
      <c r="E3" s="9">
        <v>150</v>
      </c>
      <c r="F3" s="13"/>
      <c r="G3" s="13"/>
      <c r="H3" s="9">
        <v>147</v>
      </c>
      <c r="I3" s="13"/>
      <c r="J3" s="13"/>
      <c r="K3" s="23">
        <v>41944</v>
      </c>
      <c r="L3" s="23">
        <v>41988</v>
      </c>
      <c r="M3" s="23"/>
      <c r="N3" s="9"/>
      <c r="O3" s="19">
        <f>N3</f>
        <v>0</v>
      </c>
      <c r="Q3" s="9"/>
      <c r="R3" s="9">
        <f>O3-Q3</f>
        <v>0</v>
      </c>
    </row>
  </sheetData>
  <conditionalFormatting sqref="R2:R3">
    <cfRule type="cellIs" dxfId="2" priority="1" stopIfTrue="1" operator="lessThan">
      <formula>20000</formula>
    </cfRule>
    <cfRule type="cellIs" dxfId="1" priority="2" stopIfTrue="1" operator="between">
      <formula>30000</formula>
      <formula>20000</formula>
    </cfRule>
    <cfRule type="cellIs" dxfId="0" priority="3" stopIfTrue="1" operator="greaterThanOrEqual">
      <formula>30000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0" sqref="B20"/>
    </sheetView>
  </sheetViews>
  <sheetFormatPr defaultRowHeight="14.4" x14ac:dyDescent="0.3"/>
  <sheetData>
    <row r="1" spans="2:2" x14ac:dyDescent="0.3">
      <c r="B1" t="s">
        <v>1</v>
      </c>
    </row>
    <row r="2" spans="2:2" x14ac:dyDescent="0.3">
      <c r="B2" s="1" t="s">
        <v>2</v>
      </c>
    </row>
    <row r="3" spans="2:2" x14ac:dyDescent="0.3">
      <c r="B3" t="s">
        <v>3</v>
      </c>
    </row>
    <row r="12" spans="2:2" ht="15.6" x14ac:dyDescent="0.3">
      <c r="B12" s="2" t="s">
        <v>20</v>
      </c>
    </row>
    <row r="13" spans="2:2" x14ac:dyDescent="0.3">
      <c r="B13" s="3" t="s">
        <v>21</v>
      </c>
    </row>
    <row r="14" spans="2:2" ht="15" x14ac:dyDescent="0.3">
      <c r="B14" s="4"/>
    </row>
    <row r="15" spans="2:2" ht="15" x14ac:dyDescent="0.3">
      <c r="B15" s="4" t="s">
        <v>2</v>
      </c>
    </row>
    <row r="16" spans="2:2" x14ac:dyDescent="0.3">
      <c r="B16" s="3" t="s">
        <v>22</v>
      </c>
    </row>
    <row r="19" spans="2:2" x14ac:dyDescent="0.3">
      <c r="B19" t="s">
        <v>68</v>
      </c>
    </row>
    <row r="20" spans="2:2" x14ac:dyDescent="0.3">
      <c r="B20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2015 Fiscal Year</vt:lpstr>
      <vt:lpstr>Contract Summary - Active</vt:lpstr>
      <vt:lpstr>For Letter to buyers Jan 20</vt:lpstr>
      <vt:lpstr>Contract Summary - Old</vt:lpstr>
      <vt:lpstr>for invoices</vt:lpstr>
      <vt:lpstr>'2015 Fiscal Year'!Print_Area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2015-05-17T19:08:16Z</cp:lastPrinted>
  <dcterms:created xsi:type="dcterms:W3CDTF">2014-12-02T03:18:03Z</dcterms:created>
  <dcterms:modified xsi:type="dcterms:W3CDTF">2015-11-14T16:36:03Z</dcterms:modified>
</cp:coreProperties>
</file>