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P6" i="1" l="1"/>
  <c r="AS6" i="1" s="1"/>
  <c r="AP9" i="1"/>
  <c r="AS9" i="1"/>
  <c r="AS11" i="1"/>
  <c r="AP5" i="1" l="1"/>
  <c r="AP11" i="1" l="1"/>
  <c r="AP4" i="1" l="1"/>
  <c r="AJ11" i="1" l="1"/>
  <c r="AI11" i="1"/>
  <c r="AH11" i="1"/>
  <c r="AE11" i="1"/>
  <c r="AD11" i="1"/>
  <c r="AE10" i="1"/>
  <c r="AD10" i="1"/>
  <c r="AE9" i="1"/>
  <c r="AD9" i="1"/>
  <c r="AE8" i="1"/>
  <c r="AD8" i="1"/>
  <c r="AE6" i="1"/>
  <c r="AD6" i="1"/>
  <c r="AE5" i="1"/>
  <c r="AE13" i="1" s="1"/>
  <c r="AD5" i="1"/>
  <c r="AE4" i="1"/>
  <c r="AD4" i="1"/>
  <c r="S4" i="1"/>
  <c r="F11" i="1"/>
  <c r="G11" i="1"/>
  <c r="G10" i="1"/>
  <c r="G9" i="1"/>
  <c r="W9" i="1" s="1"/>
  <c r="G8" i="1"/>
  <c r="G6" i="1"/>
  <c r="G5" i="1"/>
  <c r="Z5" i="1" s="1"/>
  <c r="AH5" i="1" s="1"/>
  <c r="G4" i="1"/>
  <c r="Z4" i="1" s="1"/>
  <c r="G7" i="1"/>
  <c r="F10" i="1"/>
  <c r="F9" i="1"/>
  <c r="F6" i="1"/>
  <c r="F5" i="1"/>
  <c r="F4" i="1"/>
  <c r="F8" i="1"/>
  <c r="E11" i="1"/>
  <c r="E10" i="1"/>
  <c r="E9" i="1"/>
  <c r="E8" i="1"/>
  <c r="F7" i="1"/>
  <c r="E7" i="1"/>
  <c r="E6" i="1"/>
  <c r="E5" i="1"/>
  <c r="E4" i="1"/>
  <c r="Y11" i="1"/>
  <c r="Y10" i="1"/>
  <c r="Y9" i="1"/>
  <c r="Y8" i="1"/>
  <c r="Y6" i="1"/>
  <c r="Y5" i="1"/>
  <c r="Y4" i="1"/>
  <c r="V11" i="1"/>
  <c r="V10" i="1"/>
  <c r="V9" i="1"/>
  <c r="V8" i="1"/>
  <c r="V7" i="1"/>
  <c r="V6" i="1"/>
  <c r="V5" i="1"/>
  <c r="V4" i="1"/>
  <c r="S11" i="1"/>
  <c r="R11" i="1"/>
  <c r="S10" i="1"/>
  <c r="R10" i="1"/>
  <c r="S9" i="1"/>
  <c r="R9" i="1"/>
  <c r="S8" i="1"/>
  <c r="R8" i="1"/>
  <c r="S6" i="1"/>
  <c r="R6" i="1"/>
  <c r="S5" i="1"/>
  <c r="R5" i="1"/>
  <c r="R4" i="1"/>
  <c r="P11" i="1"/>
  <c r="O11" i="1"/>
  <c r="P10" i="1"/>
  <c r="O10" i="1"/>
  <c r="AC10" i="1" s="1"/>
  <c r="P9" i="1"/>
  <c r="O9" i="1"/>
  <c r="P8" i="1"/>
  <c r="O8" i="1"/>
  <c r="P7" i="1"/>
  <c r="O7" i="1"/>
  <c r="P6" i="1"/>
  <c r="O6" i="1"/>
  <c r="AC6" i="1" s="1"/>
  <c r="P5" i="1"/>
  <c r="O5" i="1"/>
  <c r="P4" i="1"/>
  <c r="O4" i="1"/>
  <c r="O13" i="1" s="1"/>
  <c r="AH4" i="1" l="1"/>
  <c r="AI5" i="1"/>
  <c r="AJ5" i="1" s="1"/>
  <c r="AI4" i="1"/>
  <c r="AA5" i="1"/>
  <c r="AA4" i="1"/>
  <c r="X9" i="1"/>
  <c r="Z11" i="1"/>
  <c r="W7" i="1"/>
  <c r="W10" i="1"/>
  <c r="AD13" i="1"/>
  <c r="AC4" i="1"/>
  <c r="AC8" i="1"/>
  <c r="Q4" i="1"/>
  <c r="T11" i="1"/>
  <c r="AC5" i="1"/>
  <c r="AC9" i="1"/>
  <c r="AG9" i="1" s="1"/>
  <c r="AC11" i="1"/>
  <c r="T4" i="1"/>
  <c r="T9" i="1"/>
  <c r="Q5" i="1"/>
  <c r="Q7" i="1"/>
  <c r="Q9" i="1"/>
  <c r="Q11" i="1"/>
  <c r="W5" i="1"/>
  <c r="X5" i="1" s="1"/>
  <c r="W4" i="1"/>
  <c r="X4" i="1" s="1"/>
  <c r="Z9" i="1"/>
  <c r="AH9" i="1" s="1"/>
  <c r="AJ9" i="1" s="1"/>
  <c r="Y13" i="1"/>
  <c r="Q6" i="1"/>
  <c r="Q8" i="1"/>
  <c r="Q10" i="1"/>
  <c r="T6" i="1"/>
  <c r="T8" i="1"/>
  <c r="T10" i="1"/>
  <c r="T5" i="1"/>
  <c r="P13" i="1"/>
  <c r="Q13" i="1" s="1"/>
  <c r="R13" i="1"/>
  <c r="S13" i="1"/>
  <c r="AJ4" i="1" l="1"/>
  <c r="AA9" i="1"/>
  <c r="AA11" i="1"/>
  <c r="AG10" i="1"/>
  <c r="X10" i="1"/>
  <c r="W11" i="1"/>
  <c r="Z10" i="1"/>
  <c r="W6" i="1"/>
  <c r="Z6" i="1"/>
  <c r="AG5" i="1"/>
  <c r="AG4" i="1"/>
  <c r="AC13" i="1"/>
  <c r="T13" i="1"/>
  <c r="V13" i="1"/>
  <c r="Z13" i="1" l="1"/>
  <c r="AQ4" i="1" s="1"/>
  <c r="AA10" i="1"/>
  <c r="AI10" i="1"/>
  <c r="AH10" i="1"/>
  <c r="AI6" i="1"/>
  <c r="AH6" i="1"/>
  <c r="AA6" i="1"/>
  <c r="AG11" i="1"/>
  <c r="X11" i="1"/>
  <c r="AG6" i="1"/>
  <c r="X6" i="1"/>
  <c r="Z8" i="1"/>
  <c r="W8" i="1"/>
  <c r="X8" i="1" s="1"/>
  <c r="AQ5" i="1" l="1"/>
  <c r="AJ6" i="1"/>
  <c r="AJ10" i="1"/>
  <c r="AI8" i="1"/>
  <c r="AH8" i="1"/>
  <c r="AH13" i="1" s="1"/>
  <c r="AA8" i="1"/>
  <c r="AG8" i="1"/>
  <c r="AG13" i="1" s="1"/>
  <c r="W13" i="1"/>
  <c r="X13" i="1" s="1"/>
  <c r="AS4" i="1" l="1"/>
  <c r="AA13" i="1"/>
  <c r="AJ8" i="1"/>
  <c r="AJ13" i="1" s="1"/>
  <c r="AI13" i="1"/>
  <c r="AR5" i="1" l="1"/>
  <c r="AR13" i="1" s="1"/>
  <c r="AQ13" i="1"/>
  <c r="AS5" i="1" l="1"/>
  <c r="AS13" i="1"/>
</calcChain>
</file>

<file path=xl/sharedStrings.xml><?xml version="1.0" encoding="utf-8"?>
<sst xmlns="http://schemas.openxmlformats.org/spreadsheetml/2006/main" count="77" uniqueCount="55">
  <si>
    <t>Given Name</t>
  </si>
  <si>
    <t>Surname</t>
  </si>
  <si>
    <t>Vendor Name</t>
  </si>
  <si>
    <t>Revised 2014 Rate</t>
  </si>
  <si>
    <t>Jan (01/15)</t>
  </si>
  <si>
    <t>Jan 02/02)</t>
  </si>
  <si>
    <t>Feb (01/15)</t>
  </si>
  <si>
    <t>Feb (02/02)</t>
  </si>
  <si>
    <t>March (01/15)</t>
  </si>
  <si>
    <t>March (02/02)</t>
  </si>
  <si>
    <t>Bill</t>
  </si>
  <si>
    <t>Towsley</t>
  </si>
  <si>
    <t>C Cubed Information Services Inc</t>
  </si>
  <si>
    <t>Chris</t>
  </si>
  <si>
    <t>Marko</t>
  </si>
  <si>
    <t>Debabrata</t>
  </si>
  <si>
    <t>Rout</t>
  </si>
  <si>
    <t>Jennifer</t>
  </si>
  <si>
    <t>Lengsfeld</t>
  </si>
  <si>
    <t>Kevin</t>
  </si>
  <si>
    <t>Chiu</t>
  </si>
  <si>
    <t>Manuel</t>
  </si>
  <si>
    <t>Fernandez</t>
  </si>
  <si>
    <t>Pradeep</t>
  </si>
  <si>
    <t>Venneti</t>
  </si>
  <si>
    <t>Tim</t>
  </si>
  <si>
    <t>To</t>
  </si>
  <si>
    <t>Q1 Total
(01/15)</t>
  </si>
  <si>
    <t>Q1 Total
(02/02)</t>
  </si>
  <si>
    <t>02/03 Total
(01/15)</t>
  </si>
  <si>
    <t>02/03 Total
(02/02)</t>
  </si>
  <si>
    <t>Days</t>
  </si>
  <si>
    <t>Revised 2015 Rate</t>
  </si>
  <si>
    <t>Revised 2015
Rate (5)</t>
  </si>
  <si>
    <t>Revised 2015
Rate (10)</t>
  </si>
  <si>
    <t>Approved</t>
  </si>
  <si>
    <t>Go back to budget</t>
  </si>
  <si>
    <t>Hours</t>
  </si>
  <si>
    <t>Dollars</t>
  </si>
  <si>
    <t>Day Rate</t>
  </si>
  <si>
    <t>02 Total
(01/15)</t>
  </si>
  <si>
    <t>03 Total
(01/15)</t>
  </si>
  <si>
    <t>02Total
(01/15)</t>
  </si>
  <si>
    <t>02/03 Avg
(01/15)</t>
  </si>
  <si>
    <t>PO</t>
  </si>
  <si>
    <t>Remaining</t>
  </si>
  <si>
    <t>PO AMT</t>
  </si>
  <si>
    <t>Invoiced
To Date</t>
  </si>
  <si>
    <t>Mar 1
Invoice</t>
  </si>
  <si>
    <t>Apr 1
Invoice</t>
  </si>
  <si>
    <t>4501307623</t>
  </si>
  <si>
    <t>4501364873</t>
  </si>
  <si>
    <t>4501418171</t>
  </si>
  <si>
    <t>4501418159</t>
  </si>
  <si>
    <t>4501407836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</si>
</sst>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53805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0" fontId="3" fillId="5" borderId="4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right" vertical="center"/>
    </xf>
    <xf numFmtId="0" fontId="3" fillId="7" borderId="4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0" fillId="0" borderId="5" xfId="0" applyBorder="1"/>
    <xf numFmtId="0" fontId="3" fillId="5" borderId="1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8" fontId="3" fillId="5" borderId="4" xfId="0" applyNumberFormat="1" applyFont="1" applyFill="1" applyBorder="1" applyAlignment="1">
      <alignment horizontal="right" vertical="center"/>
    </xf>
    <xf numFmtId="8" fontId="3" fillId="6" borderId="4" xfId="0" applyNumberFormat="1" applyFont="1" applyFill="1" applyBorder="1" applyAlignment="1">
      <alignment horizontal="right" vertical="center"/>
    </xf>
    <xf numFmtId="8" fontId="3" fillId="5" borderId="1" xfId="0" applyNumberFormat="1" applyFont="1" applyFill="1" applyBorder="1" applyAlignment="1">
      <alignment horizontal="right" vertical="center"/>
    </xf>
    <xf numFmtId="8" fontId="3" fillId="5" borderId="2" xfId="0" applyNumberFormat="1" applyFont="1" applyFill="1" applyBorder="1" applyAlignment="1">
      <alignment horizontal="right" vertical="center"/>
    </xf>
    <xf numFmtId="8" fontId="3" fillId="6" borderId="2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8" fontId="3" fillId="6" borderId="1" xfId="0" applyNumberFormat="1" applyFont="1" applyFill="1" applyBorder="1" applyAlignment="1">
      <alignment horizontal="right" vertical="center"/>
    </xf>
    <xf numFmtId="49" fontId="3" fillId="6" borderId="4" xfId="0" applyNumberFormat="1" applyFont="1" applyFill="1" applyBorder="1" applyAlignment="1">
      <alignment horizontal="left" vertical="center"/>
    </xf>
    <xf numFmtId="8" fontId="3" fillId="9" borderId="4" xfId="0" applyNumberFormat="1" applyFont="1" applyFill="1" applyBorder="1" applyAlignment="1">
      <alignment horizontal="right" vertical="center"/>
    </xf>
    <xf numFmtId="49" fontId="1" fillId="9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"/>
  <sheetViews>
    <sheetView tabSelected="1" workbookViewId="0">
      <pane xSplit="2" topLeftCell="Y1" activePane="topRight" state="frozen"/>
      <selection pane="topRight" activeCell="AQ5" sqref="AQ5"/>
    </sheetView>
  </sheetViews>
  <sheetFormatPr defaultRowHeight="15" x14ac:dyDescent="0.25"/>
  <cols>
    <col min="1" max="1" width="10.5703125" bestFit="1" customWidth="1"/>
    <col min="2" max="2" width="8.42578125" bestFit="1" customWidth="1"/>
    <col min="3" max="3" width="24.28515625" bestFit="1" customWidth="1"/>
    <col min="4" max="6" width="9.7109375" customWidth="1"/>
    <col min="8" max="8" width="7.28515625" bestFit="1" customWidth="1"/>
    <col min="9" max="9" width="7" bestFit="1" customWidth="1"/>
    <col min="10" max="13" width="7.28515625" bestFit="1" customWidth="1"/>
    <col min="14" max="14" width="7.28515625" customWidth="1"/>
    <col min="18" max="19" width="10.7109375" bestFit="1" customWidth="1"/>
    <col min="22" max="23" width="11.85546875" bestFit="1" customWidth="1"/>
    <col min="24" max="24" width="10.5703125" bestFit="1" customWidth="1"/>
    <col min="25" max="26" width="11.85546875" bestFit="1" customWidth="1"/>
    <col min="27" max="27" width="12" bestFit="1" customWidth="1"/>
    <col min="33" max="33" width="12" bestFit="1" customWidth="1"/>
    <col min="34" max="36" width="9.85546875" bestFit="1" customWidth="1"/>
    <col min="38" max="38" width="17" bestFit="1" customWidth="1"/>
    <col min="39" max="39" width="17" customWidth="1"/>
    <col min="40" max="40" width="13.5703125" bestFit="1" customWidth="1"/>
    <col min="41" max="41" width="12.5703125" bestFit="1" customWidth="1"/>
    <col min="42" max="45" width="11.85546875" bestFit="1" customWidth="1"/>
  </cols>
  <sheetData>
    <row r="1" spans="1:45" ht="15.75" thickBot="1" x14ac:dyDescent="0.3"/>
    <row r="2" spans="1:45" ht="15.75" thickBot="1" x14ac:dyDescent="0.3">
      <c r="O2" s="26" t="s">
        <v>37</v>
      </c>
      <c r="V2" s="26" t="s">
        <v>38</v>
      </c>
      <c r="AC2" s="26" t="s">
        <v>31</v>
      </c>
      <c r="AG2" s="26" t="s">
        <v>39</v>
      </c>
    </row>
    <row r="3" spans="1:45" ht="36.75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4" t="s">
        <v>34</v>
      </c>
      <c r="F3" s="4" t="s">
        <v>33</v>
      </c>
      <c r="G3" s="4" t="s">
        <v>32</v>
      </c>
      <c r="H3" s="5" t="s">
        <v>4</v>
      </c>
      <c r="I3" s="5" t="s">
        <v>5</v>
      </c>
      <c r="J3" s="6" t="s">
        <v>6</v>
      </c>
      <c r="K3" s="6" t="s">
        <v>7</v>
      </c>
      <c r="L3" s="7" t="s">
        <v>8</v>
      </c>
      <c r="M3" s="7" t="s">
        <v>9</v>
      </c>
      <c r="N3" s="16"/>
      <c r="O3" s="5" t="s">
        <v>27</v>
      </c>
      <c r="P3" s="5" t="s">
        <v>28</v>
      </c>
      <c r="Q3" s="5"/>
      <c r="R3" s="6" t="s">
        <v>29</v>
      </c>
      <c r="S3" s="6" t="s">
        <v>30</v>
      </c>
      <c r="T3" s="6"/>
      <c r="U3" s="16"/>
      <c r="V3" s="5" t="s">
        <v>27</v>
      </c>
      <c r="W3" s="5" t="s">
        <v>28</v>
      </c>
      <c r="X3" s="5"/>
      <c r="Y3" s="6" t="s">
        <v>29</v>
      </c>
      <c r="Z3" s="6" t="s">
        <v>30</v>
      </c>
      <c r="AA3" s="6"/>
      <c r="AB3" s="16"/>
      <c r="AC3" s="5" t="s">
        <v>27</v>
      </c>
      <c r="AD3" s="6" t="s">
        <v>40</v>
      </c>
      <c r="AE3" s="6" t="s">
        <v>41</v>
      </c>
      <c r="AF3" s="16"/>
      <c r="AG3" s="5" t="s">
        <v>27</v>
      </c>
      <c r="AH3" s="6" t="s">
        <v>42</v>
      </c>
      <c r="AI3" s="6" t="s">
        <v>41</v>
      </c>
      <c r="AJ3" s="6" t="s">
        <v>43</v>
      </c>
      <c r="AL3" s="16"/>
      <c r="AM3" s="6" t="s">
        <v>44</v>
      </c>
      <c r="AN3" s="6" t="s">
        <v>46</v>
      </c>
      <c r="AO3" s="6" t="s">
        <v>47</v>
      </c>
      <c r="AP3" s="6" t="s">
        <v>45</v>
      </c>
      <c r="AQ3" s="6" t="s">
        <v>48</v>
      </c>
      <c r="AR3" s="6" t="s">
        <v>49</v>
      </c>
      <c r="AS3" s="6" t="s">
        <v>45</v>
      </c>
    </row>
    <row r="4" spans="1:45" ht="15.75" thickBot="1" x14ac:dyDescent="0.3">
      <c r="A4" s="8" t="s">
        <v>10</v>
      </c>
      <c r="B4" s="9" t="s">
        <v>11</v>
      </c>
      <c r="C4" s="9" t="s">
        <v>12</v>
      </c>
      <c r="D4" s="10">
        <v>178</v>
      </c>
      <c r="E4" s="10">
        <f>((D4-3)*0.9)+2+0.5</f>
        <v>160</v>
      </c>
      <c r="F4" s="10">
        <f>((D4-3)*0.95)+2+0.75</f>
        <v>169</v>
      </c>
      <c r="G4" s="10">
        <f ca="1">IF(CELL("contents",$G$2)=10,((D4-3)*0.9)+2+0.5,((D4-3)*0.95)+2+0.75)</f>
        <v>169</v>
      </c>
      <c r="H4" s="11">
        <v>160</v>
      </c>
      <c r="I4" s="11">
        <v>195.75</v>
      </c>
      <c r="J4" s="12">
        <v>160</v>
      </c>
      <c r="K4" s="12">
        <v>180</v>
      </c>
      <c r="L4" s="13">
        <v>160</v>
      </c>
      <c r="M4" s="13">
        <v>104.5</v>
      </c>
      <c r="N4" s="16"/>
      <c r="O4" s="11">
        <f>H4+J4+L4</f>
        <v>480</v>
      </c>
      <c r="P4" s="11">
        <f>I4+K4+M4</f>
        <v>480.25</v>
      </c>
      <c r="Q4" s="18">
        <f t="shared" ref="Q4:Q11" si="0">+P4/O4</f>
        <v>1.0005208333333333</v>
      </c>
      <c r="R4" s="12">
        <f>+J4+L4</f>
        <v>320</v>
      </c>
      <c r="S4" s="12">
        <f>+K4+M4</f>
        <v>284.5</v>
      </c>
      <c r="T4" s="12">
        <f>+S4/R4</f>
        <v>0.88906249999999998</v>
      </c>
      <c r="U4" s="16"/>
      <c r="V4" s="20">
        <f>(H4+J4+L4)*D4</f>
        <v>85440</v>
      </c>
      <c r="W4" s="20">
        <f ca="1">(I4+K4+M4)*G4</f>
        <v>81162.25</v>
      </c>
      <c r="X4" s="23">
        <f ca="1">+W4-V4</f>
        <v>-4277.75</v>
      </c>
      <c r="Y4" s="21">
        <f>(J4+L4)*D4</f>
        <v>56960</v>
      </c>
      <c r="Z4" s="21">
        <f ca="1">+(K4+M4)*G4</f>
        <v>48080.5</v>
      </c>
      <c r="AA4" s="21">
        <f ca="1">+Z4-Y4</f>
        <v>-8879.5</v>
      </c>
      <c r="AB4" s="16"/>
      <c r="AC4" s="11">
        <f>+O4/8</f>
        <v>60</v>
      </c>
      <c r="AD4" s="12">
        <f>(J4)/8</f>
        <v>20</v>
      </c>
      <c r="AE4" s="12">
        <f>+L4/8</f>
        <v>20</v>
      </c>
      <c r="AF4" s="16"/>
      <c r="AG4" s="20">
        <f ca="1">+W4/AC4</f>
        <v>1352.7041666666667</v>
      </c>
      <c r="AH4" s="21">
        <f ca="1">(Z4/AD4/2)-2.01</f>
        <v>1200.0025000000001</v>
      </c>
      <c r="AI4" s="21">
        <f ca="1">(Z4/AE4/2)-2.01</f>
        <v>1200.0025000000001</v>
      </c>
      <c r="AJ4" s="21">
        <f ca="1">+(AH4+AI4)/2</f>
        <v>1200.0025000000001</v>
      </c>
      <c r="AL4" s="16" t="s">
        <v>35</v>
      </c>
      <c r="AM4" s="28" t="s">
        <v>50</v>
      </c>
      <c r="AN4" s="21">
        <v>534712</v>
      </c>
      <c r="AO4" s="21">
        <v>418923</v>
      </c>
      <c r="AP4" s="21">
        <f>+AN4-AO4</f>
        <v>115789</v>
      </c>
      <c r="AQ4" s="21">
        <f ca="1">IF((Z13-0.5)/2&gt;AP4,AP4-1000)</f>
        <v>114789</v>
      </c>
      <c r="AR4" s="21">
        <v>0</v>
      </c>
      <c r="AS4" s="21">
        <f ca="1">+AP4-AQ4+AR4</f>
        <v>1000</v>
      </c>
    </row>
    <row r="5" spans="1:45" ht="15.75" thickBot="1" x14ac:dyDescent="0.3">
      <c r="A5" s="8" t="s">
        <v>13</v>
      </c>
      <c r="B5" s="9" t="s">
        <v>14</v>
      </c>
      <c r="C5" s="9" t="s">
        <v>12</v>
      </c>
      <c r="D5" s="10">
        <v>143</v>
      </c>
      <c r="E5" s="10">
        <f>((D5-3)*0.9)+2+2</f>
        <v>130</v>
      </c>
      <c r="F5" s="10">
        <f>((D5-3)*0.95)+2</f>
        <v>135</v>
      </c>
      <c r="G5" s="10">
        <f ca="1">IF(CELL("contents",$G$2)=10,((D5-3)*0.9)+2+2,((D5-3)*0.95)+2)</f>
        <v>135</v>
      </c>
      <c r="H5" s="11">
        <v>160</v>
      </c>
      <c r="I5" s="11">
        <v>203.5</v>
      </c>
      <c r="J5" s="12">
        <v>160</v>
      </c>
      <c r="K5" s="12">
        <v>200</v>
      </c>
      <c r="L5" s="13">
        <v>160</v>
      </c>
      <c r="M5" s="13">
        <v>160</v>
      </c>
      <c r="N5" s="16"/>
      <c r="O5" s="11">
        <f t="shared" ref="O5:O11" si="1">H5+J5+L5</f>
        <v>480</v>
      </c>
      <c r="P5" s="11">
        <f t="shared" ref="P5:P11" si="2">I5+K5+M5</f>
        <v>563.5</v>
      </c>
      <c r="Q5" s="18">
        <f t="shared" si="0"/>
        <v>1.1739583333333334</v>
      </c>
      <c r="R5" s="12">
        <f t="shared" ref="R5:R11" si="3">+J5+L5</f>
        <v>320</v>
      </c>
      <c r="S5" s="12">
        <f t="shared" ref="S5:S11" si="4">+K5+M5</f>
        <v>360</v>
      </c>
      <c r="T5" s="12">
        <f>+S5/R5</f>
        <v>1.125</v>
      </c>
      <c r="U5" s="16"/>
      <c r="V5" s="20">
        <f t="shared" ref="V5:V11" si="5">(H5+J5+L5)*D5</f>
        <v>68640</v>
      </c>
      <c r="W5" s="20">
        <f t="shared" ref="W5:W11" ca="1" si="6">(I5+K5+M5)*G5</f>
        <v>76072.5</v>
      </c>
      <c r="X5" s="23">
        <f ca="1">+W5-V5</f>
        <v>7432.5</v>
      </c>
      <c r="Y5" s="21">
        <f>(J5+L5)*D5</f>
        <v>45760</v>
      </c>
      <c r="Z5" s="21">
        <f t="shared" ref="Z5:Z11" ca="1" si="7">+(K5+M5)*G5</f>
        <v>48600</v>
      </c>
      <c r="AA5" s="21">
        <f ca="1">+Z5-Y5</f>
        <v>2840</v>
      </c>
      <c r="AB5" s="16"/>
      <c r="AC5" s="11">
        <f>+O5/8</f>
        <v>60</v>
      </c>
      <c r="AD5" s="12">
        <f>(J5)/8</f>
        <v>20</v>
      </c>
      <c r="AE5" s="12">
        <f>+L5/8</f>
        <v>20</v>
      </c>
      <c r="AF5" s="16"/>
      <c r="AG5" s="20">
        <f ca="1">+W5/AC5</f>
        <v>1267.875</v>
      </c>
      <c r="AH5" s="21">
        <f ca="1">(Z5/AD5/2)</f>
        <v>1215</v>
      </c>
      <c r="AI5" s="21">
        <f ca="1">(Z5/AE5/2)</f>
        <v>1215</v>
      </c>
      <c r="AJ5" s="21">
        <f ca="1">+(AH5+AI5)/2</f>
        <v>1215</v>
      </c>
      <c r="AL5" s="16" t="s">
        <v>35</v>
      </c>
      <c r="AM5" s="28" t="s">
        <v>51</v>
      </c>
      <c r="AN5" s="21">
        <v>1141013</v>
      </c>
      <c r="AO5" s="21">
        <v>875975</v>
      </c>
      <c r="AP5" s="21">
        <f>+AN5-AO5</f>
        <v>265038</v>
      </c>
      <c r="AQ5" s="21">
        <f ca="1">+((Z13-0.5)/2)-AQ4</f>
        <v>26651</v>
      </c>
      <c r="AR5" s="21">
        <f ca="1">IF((Z13-0.5)/2&gt;(AP5-AQ5),(AP5-AQ5-1000),(Z13-0.5)/2)</f>
        <v>141440</v>
      </c>
      <c r="AS5" s="21">
        <f ca="1">+AP5-AQ5+AR5</f>
        <v>379827</v>
      </c>
    </row>
    <row r="6" spans="1:45" ht="15.75" thickBot="1" x14ac:dyDescent="0.3">
      <c r="A6" s="8" t="s">
        <v>15</v>
      </c>
      <c r="B6" s="9" t="s">
        <v>16</v>
      </c>
      <c r="C6" s="9" t="s">
        <v>12</v>
      </c>
      <c r="D6" s="10">
        <v>110</v>
      </c>
      <c r="E6" s="10">
        <f>((D6-3)*0.9)+2+1.7</f>
        <v>100</v>
      </c>
      <c r="F6" s="10">
        <f>((D6-3)*0.95)+2+0.35</f>
        <v>103.99999999999999</v>
      </c>
      <c r="G6" s="10">
        <f ca="1">IF(CELL("contents",$G$2)=10,((D6-3)*0.9)+2+1.7,((D6-3)*0.95)+2+0.35)</f>
        <v>103.99999999999999</v>
      </c>
      <c r="H6" s="11">
        <v>180</v>
      </c>
      <c r="I6" s="11">
        <v>232</v>
      </c>
      <c r="J6" s="12">
        <v>160</v>
      </c>
      <c r="K6" s="12">
        <v>200</v>
      </c>
      <c r="L6" s="13">
        <v>160</v>
      </c>
      <c r="M6" s="13">
        <v>160</v>
      </c>
      <c r="N6" s="16"/>
      <c r="O6" s="11">
        <f t="shared" si="1"/>
        <v>500</v>
      </c>
      <c r="P6" s="11">
        <f t="shared" si="2"/>
        <v>592</v>
      </c>
      <c r="Q6" s="18">
        <f t="shared" si="0"/>
        <v>1.1839999999999999</v>
      </c>
      <c r="R6" s="12">
        <f t="shared" si="3"/>
        <v>320</v>
      </c>
      <c r="S6" s="12">
        <f t="shared" si="4"/>
        <v>360</v>
      </c>
      <c r="T6" s="12">
        <f>+S6/R6</f>
        <v>1.125</v>
      </c>
      <c r="U6" s="16"/>
      <c r="V6" s="20">
        <f t="shared" si="5"/>
        <v>55000</v>
      </c>
      <c r="W6" s="20">
        <f t="shared" ca="1" si="6"/>
        <v>61567.999999999993</v>
      </c>
      <c r="X6" s="23">
        <f ca="1">+W6-V6</f>
        <v>6567.9999999999927</v>
      </c>
      <c r="Y6" s="21">
        <f>(J6+L6)*D6</f>
        <v>35200</v>
      </c>
      <c r="Z6" s="21">
        <f t="shared" ca="1" si="7"/>
        <v>37439.999999999993</v>
      </c>
      <c r="AA6" s="21">
        <f ca="1">+Z6-Y6</f>
        <v>2239.9999999999927</v>
      </c>
      <c r="AB6" s="16"/>
      <c r="AC6" s="11">
        <f>+O6/8</f>
        <v>62.5</v>
      </c>
      <c r="AD6" s="12">
        <f>(J6)/8</f>
        <v>20</v>
      </c>
      <c r="AE6" s="12">
        <f>+L6/8</f>
        <v>20</v>
      </c>
      <c r="AF6" s="16"/>
      <c r="AG6" s="20">
        <f ca="1">+W6/AC6</f>
        <v>985.08799999999985</v>
      </c>
      <c r="AH6" s="21">
        <f ca="1">(Z6/AD6/2)</f>
        <v>935.99999999999977</v>
      </c>
      <c r="AI6" s="21">
        <f ca="1">(Z6/AE6/2)</f>
        <v>935.99999999999977</v>
      </c>
      <c r="AJ6" s="21">
        <f ca="1">+(AH6+AI6)/2</f>
        <v>935.99999999999977</v>
      </c>
      <c r="AL6" s="16" t="s">
        <v>35</v>
      </c>
      <c r="AM6" s="28" t="s">
        <v>53</v>
      </c>
      <c r="AN6" s="21">
        <v>166154</v>
      </c>
      <c r="AO6" s="21">
        <v>174074</v>
      </c>
      <c r="AP6" s="21">
        <f>+AN6-AO6</f>
        <v>-7920</v>
      </c>
      <c r="AQ6" s="21">
        <v>0</v>
      </c>
      <c r="AR6" s="21"/>
      <c r="AS6" s="21">
        <f>+AP6-AQ6+AR6</f>
        <v>-7920</v>
      </c>
    </row>
    <row r="7" spans="1:45" ht="15.75" thickBot="1" x14ac:dyDescent="0.3">
      <c r="A7" s="8" t="s">
        <v>17</v>
      </c>
      <c r="B7" s="9" t="s">
        <v>18</v>
      </c>
      <c r="C7" s="9" t="s">
        <v>12</v>
      </c>
      <c r="D7" s="10">
        <v>103</v>
      </c>
      <c r="E7" s="10">
        <f>+D7</f>
        <v>103</v>
      </c>
      <c r="F7" s="10">
        <f>+D7</f>
        <v>103</v>
      </c>
      <c r="G7" s="10">
        <f>+D7</f>
        <v>103</v>
      </c>
      <c r="H7" s="11">
        <v>160</v>
      </c>
      <c r="I7" s="11">
        <v>160</v>
      </c>
      <c r="J7" s="14"/>
      <c r="K7" s="12">
        <v>0</v>
      </c>
      <c r="L7" s="15"/>
      <c r="M7" s="13">
        <v>0</v>
      </c>
      <c r="N7" s="16"/>
      <c r="O7" s="11">
        <f t="shared" si="1"/>
        <v>160</v>
      </c>
      <c r="P7" s="11">
        <f t="shared" si="2"/>
        <v>160</v>
      </c>
      <c r="Q7" s="18">
        <f t="shared" si="0"/>
        <v>1</v>
      </c>
      <c r="R7" s="12"/>
      <c r="S7" s="12"/>
      <c r="T7" s="12"/>
      <c r="U7" s="16"/>
      <c r="V7" s="20">
        <f t="shared" si="5"/>
        <v>16480</v>
      </c>
      <c r="W7" s="20">
        <f t="shared" si="6"/>
        <v>16480</v>
      </c>
      <c r="X7" s="18"/>
      <c r="Y7" s="21"/>
      <c r="Z7" s="21"/>
      <c r="AA7" s="12"/>
      <c r="AB7" s="16"/>
      <c r="AC7" s="11"/>
      <c r="AD7" s="12"/>
      <c r="AE7" s="12"/>
      <c r="AF7" s="16"/>
      <c r="AG7" s="11"/>
      <c r="AH7" s="12"/>
      <c r="AI7" s="12"/>
      <c r="AJ7" s="12"/>
      <c r="AL7" s="16"/>
      <c r="AM7" s="30"/>
      <c r="AN7" s="29"/>
      <c r="AO7" s="29"/>
      <c r="AP7" s="29"/>
      <c r="AQ7" s="29"/>
      <c r="AR7" s="29"/>
      <c r="AS7" s="29"/>
    </row>
    <row r="8" spans="1:45" ht="15.75" thickBot="1" x14ac:dyDescent="0.3">
      <c r="A8" s="8" t="s">
        <v>19</v>
      </c>
      <c r="B8" s="9" t="s">
        <v>20</v>
      </c>
      <c r="C8" s="9" t="s">
        <v>12</v>
      </c>
      <c r="D8" s="10">
        <v>133</v>
      </c>
      <c r="E8" s="10">
        <f>((D8-3)*0.9)+2+1</f>
        <v>120</v>
      </c>
      <c r="F8" s="10">
        <f>((D8-3)*0.95)+2+0.5</f>
        <v>126</v>
      </c>
      <c r="G8" s="10">
        <f ca="1">IF(CELL("contents",$G$2)=10,((D8-3)*0.9)+2+1,((D8-3)*0.95)+2+0.5)</f>
        <v>126</v>
      </c>
      <c r="H8" s="11">
        <v>180</v>
      </c>
      <c r="I8" s="11">
        <v>246.5</v>
      </c>
      <c r="J8" s="12">
        <v>160</v>
      </c>
      <c r="K8" s="12">
        <v>200</v>
      </c>
      <c r="L8" s="13">
        <v>160</v>
      </c>
      <c r="M8" s="13">
        <v>160</v>
      </c>
      <c r="N8" s="16"/>
      <c r="O8" s="11">
        <f t="shared" si="1"/>
        <v>500</v>
      </c>
      <c r="P8" s="11">
        <f t="shared" si="2"/>
        <v>606.5</v>
      </c>
      <c r="Q8" s="18">
        <f t="shared" si="0"/>
        <v>1.2130000000000001</v>
      </c>
      <c r="R8" s="12">
        <f t="shared" si="3"/>
        <v>320</v>
      </c>
      <c r="S8" s="12">
        <f t="shared" si="4"/>
        <v>360</v>
      </c>
      <c r="T8" s="12">
        <f>+S8/R8</f>
        <v>1.125</v>
      </c>
      <c r="U8" s="16"/>
      <c r="V8" s="20">
        <f t="shared" si="5"/>
        <v>66500</v>
      </c>
      <c r="W8" s="20">
        <f t="shared" ca="1" si="6"/>
        <v>76419</v>
      </c>
      <c r="X8" s="23">
        <f ca="1">+W8-V8</f>
        <v>9919</v>
      </c>
      <c r="Y8" s="21">
        <f>(J8+L8)*D8</f>
        <v>42560</v>
      </c>
      <c r="Z8" s="21">
        <f t="shared" ca="1" si="7"/>
        <v>45360</v>
      </c>
      <c r="AA8" s="21">
        <f ca="1">+Z8-Y8</f>
        <v>2800</v>
      </c>
      <c r="AB8" s="16"/>
      <c r="AC8" s="11">
        <f>+O8/8</f>
        <v>62.5</v>
      </c>
      <c r="AD8" s="12">
        <f>(J8)/8</f>
        <v>20</v>
      </c>
      <c r="AE8" s="12">
        <f>+L8/8</f>
        <v>20</v>
      </c>
      <c r="AF8" s="16"/>
      <c r="AG8" s="20">
        <f ca="1">+W8/AC8</f>
        <v>1222.704</v>
      </c>
      <c r="AH8" s="21">
        <f ca="1">(Z8/AD8/2)</f>
        <v>1134</v>
      </c>
      <c r="AI8" s="21">
        <f ca="1">(Z8/AE8/2)</f>
        <v>1134</v>
      </c>
      <c r="AJ8" s="21">
        <f ca="1">+(AH8+AI8)/2</f>
        <v>1134</v>
      </c>
      <c r="AL8" s="16" t="s">
        <v>35</v>
      </c>
      <c r="AM8" s="30" t="s">
        <v>51</v>
      </c>
      <c r="AN8" s="29"/>
      <c r="AO8" s="29"/>
      <c r="AP8" s="29"/>
      <c r="AQ8" s="29"/>
      <c r="AR8" s="29"/>
      <c r="AS8" s="29"/>
    </row>
    <row r="9" spans="1:45" ht="15.75" thickBot="1" x14ac:dyDescent="0.3">
      <c r="A9" s="8" t="s">
        <v>21</v>
      </c>
      <c r="B9" s="9" t="s">
        <v>22</v>
      </c>
      <c r="C9" s="9" t="s">
        <v>12</v>
      </c>
      <c r="D9" s="10">
        <v>128</v>
      </c>
      <c r="E9" s="10">
        <f>((D9-3)*0.9)+2+0.5</f>
        <v>115</v>
      </c>
      <c r="F9" s="10">
        <f>((D9-3)*0.95)+2+0.25</f>
        <v>121</v>
      </c>
      <c r="G9" s="10">
        <f ca="1">IF(CELL("contents",$G$2)=10,((D9-3)*0.9)+2+0.5,((D9-3)*0.95)+2+0.25)</f>
        <v>121</v>
      </c>
      <c r="H9" s="11">
        <v>160</v>
      </c>
      <c r="I9" s="11">
        <v>212</v>
      </c>
      <c r="J9" s="12">
        <v>160</v>
      </c>
      <c r="K9" s="12">
        <v>200</v>
      </c>
      <c r="L9" s="15"/>
      <c r="M9" s="13">
        <v>0</v>
      </c>
      <c r="N9" s="16"/>
      <c r="O9" s="11">
        <f t="shared" si="1"/>
        <v>320</v>
      </c>
      <c r="P9" s="11">
        <f t="shared" si="2"/>
        <v>412</v>
      </c>
      <c r="Q9" s="18">
        <f t="shared" si="0"/>
        <v>1.2875000000000001</v>
      </c>
      <c r="R9" s="12">
        <f t="shared" si="3"/>
        <v>160</v>
      </c>
      <c r="S9" s="12">
        <f t="shared" si="4"/>
        <v>200</v>
      </c>
      <c r="T9" s="12">
        <f>+S9/R9</f>
        <v>1.25</v>
      </c>
      <c r="U9" s="16"/>
      <c r="V9" s="20">
        <f t="shared" si="5"/>
        <v>40960</v>
      </c>
      <c r="W9" s="20">
        <f t="shared" ca="1" si="6"/>
        <v>49852</v>
      </c>
      <c r="X9" s="23">
        <f ca="1">+W9-V9</f>
        <v>8892</v>
      </c>
      <c r="Y9" s="21">
        <f>(J9+L9)*D9</f>
        <v>20480</v>
      </c>
      <c r="Z9" s="21">
        <f t="shared" ca="1" si="7"/>
        <v>24200</v>
      </c>
      <c r="AA9" s="21">
        <f ca="1">+Z9-Y9</f>
        <v>3720</v>
      </c>
      <c r="AB9" s="16"/>
      <c r="AC9" s="11">
        <f>+O9/8</f>
        <v>40</v>
      </c>
      <c r="AD9" s="12">
        <f>(J9)/8</f>
        <v>20</v>
      </c>
      <c r="AE9" s="12">
        <f>+L9/8</f>
        <v>0</v>
      </c>
      <c r="AF9" s="16"/>
      <c r="AG9" s="20">
        <f ca="1">+W9/AC9</f>
        <v>1246.3</v>
      </c>
      <c r="AH9" s="21">
        <f ca="1">(Z9/AD9)</f>
        <v>1210</v>
      </c>
      <c r="AI9" s="21"/>
      <c r="AJ9" s="21">
        <f ca="1">+(AH9+AI9)/2</f>
        <v>605</v>
      </c>
      <c r="AL9" s="16" t="s">
        <v>35</v>
      </c>
      <c r="AM9" s="28" t="s">
        <v>52</v>
      </c>
      <c r="AN9" s="21">
        <v>209593</v>
      </c>
      <c r="AO9" s="21">
        <v>193792</v>
      </c>
      <c r="AP9" s="21">
        <f>+AN9-AO9</f>
        <v>15801</v>
      </c>
      <c r="AQ9" s="21">
        <v>0</v>
      </c>
      <c r="AR9" s="21"/>
      <c r="AS9" s="21">
        <f>+AP9-AQ9+AR9</f>
        <v>15801</v>
      </c>
    </row>
    <row r="10" spans="1:45" ht="15.75" thickBot="1" x14ac:dyDescent="0.3">
      <c r="A10" s="8" t="s">
        <v>23</v>
      </c>
      <c r="B10" s="9" t="s">
        <v>24</v>
      </c>
      <c r="C10" s="9" t="s">
        <v>12</v>
      </c>
      <c r="D10" s="10">
        <v>128</v>
      </c>
      <c r="E10" s="10">
        <f>((D10-3)*0.9)+2+0.5</f>
        <v>115</v>
      </c>
      <c r="F10" s="10">
        <f>((D10-3)*0.95)+2+0.25</f>
        <v>121</v>
      </c>
      <c r="G10" s="10">
        <f ca="1">IF(CELL("contents",$G$2)=10,((D10-3)*0.9)+2+0.5,((D10-3)*0.95)+2+0.25)</f>
        <v>121</v>
      </c>
      <c r="H10" s="11">
        <v>160</v>
      </c>
      <c r="I10" s="11">
        <v>222</v>
      </c>
      <c r="J10" s="12">
        <v>160</v>
      </c>
      <c r="K10" s="12">
        <v>200</v>
      </c>
      <c r="L10" s="13">
        <v>160</v>
      </c>
      <c r="M10" s="13">
        <v>160</v>
      </c>
      <c r="N10" s="16"/>
      <c r="O10" s="11">
        <f t="shared" si="1"/>
        <v>480</v>
      </c>
      <c r="P10" s="11">
        <f t="shared" si="2"/>
        <v>582</v>
      </c>
      <c r="Q10" s="18">
        <f t="shared" si="0"/>
        <v>1.2124999999999999</v>
      </c>
      <c r="R10" s="12">
        <f t="shared" si="3"/>
        <v>320</v>
      </c>
      <c r="S10" s="12">
        <f t="shared" si="4"/>
        <v>360</v>
      </c>
      <c r="T10" s="12">
        <f>+S10/R10</f>
        <v>1.125</v>
      </c>
      <c r="U10" s="16"/>
      <c r="V10" s="20">
        <f t="shared" si="5"/>
        <v>61440</v>
      </c>
      <c r="W10" s="20">
        <f t="shared" ca="1" si="6"/>
        <v>70422</v>
      </c>
      <c r="X10" s="23">
        <f ca="1">+W10-V10</f>
        <v>8982</v>
      </c>
      <c r="Y10" s="21">
        <f>(J10+L10)*D10</f>
        <v>40960</v>
      </c>
      <c r="Z10" s="21">
        <f t="shared" ca="1" si="7"/>
        <v>43560</v>
      </c>
      <c r="AA10" s="21">
        <f ca="1">+Z10-Y10</f>
        <v>2600</v>
      </c>
      <c r="AB10" s="16"/>
      <c r="AC10" s="11">
        <f>+O10/8</f>
        <v>60</v>
      </c>
      <c r="AD10" s="12">
        <f>(J10)/8</f>
        <v>20</v>
      </c>
      <c r="AE10" s="12">
        <f>+L10/8</f>
        <v>20</v>
      </c>
      <c r="AF10" s="16"/>
      <c r="AG10" s="20">
        <f ca="1">+W10/AC10</f>
        <v>1173.7</v>
      </c>
      <c r="AH10" s="21">
        <f ca="1">(Z10/AD10/2)</f>
        <v>1089</v>
      </c>
      <c r="AI10" s="21">
        <f ca="1">(Z10/AE10/2)</f>
        <v>1089</v>
      </c>
      <c r="AJ10" s="21">
        <f ca="1">+(AH10+AI10)/2</f>
        <v>1089</v>
      </c>
      <c r="AL10" s="16" t="s">
        <v>35</v>
      </c>
      <c r="AM10" s="30" t="s">
        <v>51</v>
      </c>
      <c r="AN10" s="29"/>
      <c r="AO10" s="29"/>
      <c r="AP10" s="29"/>
      <c r="AQ10" s="29"/>
      <c r="AR10" s="29"/>
      <c r="AS10" s="29"/>
    </row>
    <row r="11" spans="1:45" ht="15.75" thickBot="1" x14ac:dyDescent="0.3">
      <c r="A11" s="8" t="s">
        <v>25</v>
      </c>
      <c r="B11" s="9" t="s">
        <v>26</v>
      </c>
      <c r="C11" s="9" t="s">
        <v>12</v>
      </c>
      <c r="D11" s="10">
        <v>128</v>
      </c>
      <c r="E11" s="10">
        <f>((D11-3)*0.9)+2+0.5</f>
        <v>115</v>
      </c>
      <c r="F11" s="10">
        <f>+D11-1</f>
        <v>127</v>
      </c>
      <c r="G11" s="10">
        <f>+D11-1</f>
        <v>127</v>
      </c>
      <c r="H11" s="11">
        <v>160</v>
      </c>
      <c r="I11" s="11">
        <v>160.5</v>
      </c>
      <c r="J11" s="12">
        <v>160</v>
      </c>
      <c r="K11" s="25">
        <v>160</v>
      </c>
      <c r="L11" s="13">
        <v>160</v>
      </c>
      <c r="M11" s="13">
        <v>160</v>
      </c>
      <c r="N11" s="16"/>
      <c r="O11" s="11">
        <f t="shared" si="1"/>
        <v>480</v>
      </c>
      <c r="P11" s="11">
        <f t="shared" si="2"/>
        <v>480.5</v>
      </c>
      <c r="Q11" s="18">
        <f t="shared" si="0"/>
        <v>1.0010416666666666</v>
      </c>
      <c r="R11" s="12">
        <f t="shared" si="3"/>
        <v>320</v>
      </c>
      <c r="S11" s="12">
        <f t="shared" si="4"/>
        <v>320</v>
      </c>
      <c r="T11" s="12">
        <f>+S11/R11</f>
        <v>1</v>
      </c>
      <c r="U11" s="16"/>
      <c r="V11" s="20">
        <f t="shared" si="5"/>
        <v>61440</v>
      </c>
      <c r="W11" s="20">
        <f t="shared" si="6"/>
        <v>61023.5</v>
      </c>
      <c r="X11" s="23">
        <f>+W11-V11</f>
        <v>-416.5</v>
      </c>
      <c r="Y11" s="21">
        <f>(J11+L11)*D11</f>
        <v>40960</v>
      </c>
      <c r="Z11" s="21">
        <f t="shared" si="7"/>
        <v>40640</v>
      </c>
      <c r="AA11" s="21">
        <f>+Z11-Y11</f>
        <v>-320</v>
      </c>
      <c r="AB11" s="16"/>
      <c r="AC11" s="11">
        <f>+O11/8</f>
        <v>60</v>
      </c>
      <c r="AD11" s="12">
        <f>(J11)/8</f>
        <v>20</v>
      </c>
      <c r="AE11" s="12">
        <f>+L11/8</f>
        <v>20</v>
      </c>
      <c r="AF11" s="16"/>
      <c r="AG11" s="20">
        <f>+W11/AC11</f>
        <v>1017.0583333333333</v>
      </c>
      <c r="AH11" s="21">
        <f>(Z11/AD11/2)</f>
        <v>1016</v>
      </c>
      <c r="AI11" s="21">
        <f>(Z11/AE11/2)</f>
        <v>1016</v>
      </c>
      <c r="AJ11" s="21">
        <f>+(AH11+AI11)/2</f>
        <v>1016</v>
      </c>
      <c r="AL11" s="16" t="s">
        <v>36</v>
      </c>
      <c r="AM11" s="28" t="s">
        <v>54</v>
      </c>
      <c r="AN11" s="21">
        <v>190600</v>
      </c>
      <c r="AO11" s="21">
        <v>199040</v>
      </c>
      <c r="AP11" s="21">
        <f>+AN11-AO11</f>
        <v>-8440</v>
      </c>
      <c r="AQ11" s="21">
        <v>0</v>
      </c>
      <c r="AR11" s="21"/>
      <c r="AS11" s="21">
        <f>+AP11-AQ11+AR11</f>
        <v>-8440</v>
      </c>
    </row>
    <row r="12" spans="1:45" ht="15.75" thickBot="1" x14ac:dyDescent="0.3"/>
    <row r="13" spans="1:45" ht="15.75" thickBot="1" x14ac:dyDescent="0.3">
      <c r="O13" s="17">
        <f>SUM(O4:O11)</f>
        <v>3400</v>
      </c>
      <c r="P13" s="18">
        <f>SUM(P4:P11)</f>
        <v>3876.75</v>
      </c>
      <c r="Q13" s="18">
        <f>+P13/O13</f>
        <v>1.140220588235294</v>
      </c>
      <c r="R13" s="19">
        <f>SUM(R4:R11)</f>
        <v>2080</v>
      </c>
      <c r="S13" s="19">
        <f>SUM(S4:S11)</f>
        <v>2244.5</v>
      </c>
      <c r="T13" s="19">
        <f>+S13/R13</f>
        <v>1.0790865384615385</v>
      </c>
      <c r="V13" s="22">
        <f>SUM(V4:V11)</f>
        <v>455900</v>
      </c>
      <c r="W13" s="23">
        <f ca="1">SUM(W4:W11)</f>
        <v>492999.25</v>
      </c>
      <c r="X13" s="23">
        <f ca="1">+W13-V13</f>
        <v>37099.25</v>
      </c>
      <c r="Y13" s="24">
        <f>SUM(Y4:Y11)</f>
        <v>282880</v>
      </c>
      <c r="Z13" s="24">
        <f ca="1">SUM(Z4:Z11)-5000</f>
        <v>282880.5</v>
      </c>
      <c r="AA13" s="24">
        <f ca="1">+Z13-Y13</f>
        <v>0.5</v>
      </c>
      <c r="AC13" s="17">
        <f>SUM(AC4:AC11)</f>
        <v>405</v>
      </c>
      <c r="AD13" s="19">
        <f>SUM(AD4:AD11)</f>
        <v>140</v>
      </c>
      <c r="AE13" s="19">
        <f>SUM(AE4:AE11)</f>
        <v>120</v>
      </c>
      <c r="AG13" s="22">
        <f ca="1">SUM(AG4:AG11)</f>
        <v>8265.4294999999984</v>
      </c>
      <c r="AH13" s="24">
        <f ca="1">SUM(AH4:AH11)</f>
        <v>7800.0024999999996</v>
      </c>
      <c r="AI13" s="24">
        <f ca="1">SUM(AI4:AI11)</f>
        <v>6590.0024999999996</v>
      </c>
      <c r="AJ13" s="24">
        <f ca="1">SUM(AJ4:AJ11)</f>
        <v>7195.0024999999996</v>
      </c>
      <c r="AQ13" s="27">
        <f ca="1">SUM(AQ4:AQ11)</f>
        <v>141440</v>
      </c>
      <c r="AR13" s="24">
        <f ca="1">SUM(AR4:AR11)</f>
        <v>141440</v>
      </c>
      <c r="AS13" s="24">
        <f ca="1">+AQ13+AR13</f>
        <v>282880</v>
      </c>
    </row>
  </sheetData>
  <pageMargins left="0.7" right="0.7" top="0.75" bottom="0.75" header="0.3" footer="0.3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Suncor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Towsley, Bill</dc:creator>
  <cp:lastModifiedBy>Towsley, Bill</cp:lastModifiedBy>
  <cp:lastPrinted>2015-02-11T19:59:24Z</cp:lastPrinted>
  <dcterms:created xsi:type="dcterms:W3CDTF">2015-02-10T21:54:57Z</dcterms:created>
  <dcterms:modified xsi:type="dcterms:W3CDTF">2015-02-13T23:24:28Z</dcterms:modified>
</cp:coreProperties>
</file>