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https://sjrb-my.sharepoint.com/personal/carla_cook_sjrb_ca/Documents/Documents/Carla/"/>
    </mc:Choice>
  </mc:AlternateContent>
  <xr:revisionPtr revIDLastSave="63" documentId="8_{BCF0B467-F305-4EAE-8C68-8E1FC2E2A6C8}" xr6:coauthVersionLast="44" xr6:coauthVersionMax="44" xr10:uidLastSave="{4B413571-D37B-47A8-A51B-43708B046EA7}"/>
  <bookViews>
    <workbookView xWindow="-28920" yWindow="-4740" windowWidth="29040" windowHeight="15840" xr2:uid="{00000000-000D-0000-FFFF-FFFF00000000}"/>
  </bookViews>
  <sheets>
    <sheet name="Travel and Expense" sheetId="1" r:id="rId1"/>
    <sheet name="DNU - Lookups" sheetId="4" r:id="rId2"/>
    <sheet name="GUIDELINES"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8" i="1" l="1"/>
  <c r="C37" i="1"/>
  <c r="C36" i="1"/>
  <c r="B26" i="1"/>
  <c r="B25" i="1"/>
  <c r="E4" i="4" l="1"/>
  <c r="E5" i="4" s="1"/>
  <c r="E3" i="4"/>
  <c r="F3" i="4" s="1"/>
  <c r="E2" i="4"/>
  <c r="F4" i="4" l="1"/>
  <c r="F5" i="4"/>
  <c r="E6" i="4"/>
  <c r="E7" i="4" l="1"/>
  <c r="F6" i="4"/>
  <c r="AH43" i="1"/>
  <c r="F7" i="4" l="1"/>
  <c r="E8" i="4"/>
  <c r="M37" i="1"/>
  <c r="B37" i="1"/>
  <c r="M30" i="1"/>
  <c r="B30" i="1"/>
  <c r="E9" i="4" l="1"/>
  <c r="F9" i="4" s="1"/>
  <c r="J19" i="1" s="1"/>
  <c r="F8" i="4"/>
  <c r="H30" i="1"/>
  <c r="AH30" i="1" s="1"/>
  <c r="C42" i="1"/>
  <c r="C41" i="1"/>
  <c r="L20" i="1" l="1"/>
  <c r="K20" i="1"/>
  <c r="J20" i="1"/>
  <c r="B32" i="1"/>
  <c r="C40" i="1"/>
  <c r="C39" i="1"/>
  <c r="B39" i="1" s="1"/>
  <c r="B38" i="1"/>
  <c r="B36" i="1"/>
  <c r="M41" i="1"/>
  <c r="B41" i="1"/>
  <c r="M40" i="1"/>
  <c r="B40" i="1"/>
  <c r="M39" i="1"/>
  <c r="M38" i="1"/>
  <c r="C35" i="1"/>
  <c r="B35" i="1" s="1"/>
  <c r="C34" i="1"/>
  <c r="B34" i="1" s="1"/>
  <c r="B33" i="1"/>
  <c r="M36" i="1"/>
  <c r="B27" i="1"/>
  <c r="B31" i="1"/>
  <c r="M27" i="1"/>
  <c r="M42" i="1"/>
  <c r="H42" i="1"/>
  <c r="M35" i="1"/>
  <c r="B42" i="1"/>
  <c r="M34" i="1"/>
  <c r="M33" i="1"/>
  <c r="M32" i="1"/>
  <c r="M31" i="1"/>
  <c r="B29" i="1"/>
  <c r="B24" i="1"/>
  <c r="B23" i="1"/>
  <c r="B22" i="1"/>
  <c r="M26" i="1"/>
  <c r="M23" i="1"/>
  <c r="M25" i="1"/>
  <c r="M24" i="1"/>
  <c r="B28" i="1"/>
  <c r="M28" i="1"/>
  <c r="C43" i="1"/>
  <c r="B43" i="1" s="1"/>
  <c r="I43" i="1"/>
  <c r="M43" i="1"/>
  <c r="AA43" i="1" s="1"/>
  <c r="X44" i="1"/>
  <c r="W44" i="1"/>
  <c r="V44" i="1"/>
  <c r="U44" i="1"/>
  <c r="T44" i="1"/>
  <c r="S44" i="1"/>
  <c r="R44" i="1"/>
  <c r="P44" i="1"/>
  <c r="O44" i="1"/>
  <c r="K44" i="1"/>
  <c r="J44" i="1"/>
  <c r="N44" i="1"/>
  <c r="M22" i="1"/>
  <c r="W49" i="1"/>
  <c r="W48" i="1"/>
  <c r="H24" i="1"/>
  <c r="AH24" i="1" s="1"/>
  <c r="M29" i="1"/>
  <c r="H22" i="1"/>
  <c r="AH22" i="1" s="1"/>
  <c r="L44" i="1"/>
  <c r="Q44" i="1"/>
  <c r="AH42" i="1" l="1"/>
  <c r="H35" i="1"/>
  <c r="AH35" i="1" s="1"/>
  <c r="M44" i="1"/>
  <c r="W57" i="1" l="1"/>
  <c r="H23" i="1"/>
  <c r="H25" i="1"/>
  <c r="H26" i="1"/>
  <c r="H27" i="1"/>
  <c r="AH27" i="1" s="1"/>
  <c r="H28" i="1"/>
  <c r="H29" i="1"/>
  <c r="AH29" i="1" s="1"/>
  <c r="H31" i="1"/>
  <c r="AH31" i="1" s="1"/>
  <c r="H32" i="1"/>
  <c r="AH32" i="1" s="1"/>
  <c r="H33" i="1"/>
  <c r="H34" i="1"/>
  <c r="H36" i="1"/>
  <c r="H37" i="1"/>
  <c r="H38" i="1"/>
  <c r="H39" i="1"/>
  <c r="AH39" i="1" s="1"/>
  <c r="H40" i="1"/>
  <c r="AH40" i="1" s="1"/>
  <c r="H41" i="1"/>
  <c r="AH41" i="1" s="1"/>
  <c r="AH23" i="1"/>
  <c r="AH25" i="1"/>
  <c r="AH26" i="1"/>
  <c r="AH28" i="1"/>
  <c r="AH33" i="1"/>
  <c r="AH34" i="1"/>
  <c r="AH36" i="1"/>
  <c r="AH37" i="1"/>
  <c r="AH38" i="1"/>
  <c r="Z21" i="1" l="1"/>
  <c r="Z24" i="1" s="1"/>
  <c r="AA24" i="1" s="1"/>
  <c r="Z27" i="1" l="1"/>
  <c r="AA27" i="1" s="1"/>
  <c r="Z34" i="1"/>
  <c r="AA34" i="1" s="1"/>
  <c r="Z23" i="1"/>
  <c r="AA23" i="1" s="1"/>
  <c r="Z29" i="1"/>
  <c r="AA29" i="1" s="1"/>
  <c r="Z32" i="1"/>
  <c r="AA32" i="1" s="1"/>
  <c r="Z38" i="1"/>
  <c r="AA38" i="1" s="1"/>
  <c r="Z33" i="1"/>
  <c r="AA33" i="1" s="1"/>
  <c r="Z39" i="1"/>
  <c r="AA39" i="1" s="1"/>
  <c r="I39" i="1" s="1"/>
  <c r="Z35" i="1"/>
  <c r="AA35" i="1" s="1"/>
  <c r="Z41" i="1"/>
  <c r="AA41" i="1" s="1"/>
  <c r="I41" i="1" s="1"/>
  <c r="Z25" i="1"/>
  <c r="AA25" i="1" s="1"/>
  <c r="Z28" i="1"/>
  <c r="AA28" i="1" s="1"/>
  <c r="Z22" i="1"/>
  <c r="Z36" i="1"/>
  <c r="AA36" i="1" s="1"/>
  <c r="Z30" i="1"/>
  <c r="AA30" i="1" s="1"/>
  <c r="Z42" i="1"/>
  <c r="AA42" i="1" s="1"/>
  <c r="Z26" i="1"/>
  <c r="AA26" i="1" s="1"/>
  <c r="Z31" i="1"/>
  <c r="AA31" i="1" s="1"/>
  <c r="Z37" i="1"/>
  <c r="AA37" i="1" s="1"/>
  <c r="Z40" i="1"/>
  <c r="AA40" i="1" s="1"/>
  <c r="I40" i="1" s="1"/>
  <c r="AA22" i="1"/>
  <c r="W58" i="1" l="1"/>
  <c r="Z44" i="1"/>
  <c r="W54" i="1"/>
  <c r="AA44" i="1"/>
  <c r="C10" i="1" s="1"/>
  <c r="W47" i="1"/>
  <c r="W5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0165</author>
  </authors>
  <commentList>
    <comment ref="J6" authorId="0" shapeId="0" xr:uid="{00000000-0006-0000-0000-000001000000}">
      <text>
        <r>
          <rPr>
            <sz val="8"/>
            <color indexed="81"/>
            <rFont val="Tahoma"/>
            <family val="2"/>
          </rPr>
          <t>Insert the week ending date and the dates will get populated automatically below. The date format should be MM/DD/YYYY</t>
        </r>
      </text>
    </comment>
  </commentList>
</comments>
</file>

<file path=xl/sharedStrings.xml><?xml version="1.0" encoding="utf-8"?>
<sst xmlns="http://schemas.openxmlformats.org/spreadsheetml/2006/main" count="218" uniqueCount="141">
  <si>
    <t>TRAVEL &amp; MONTHLY EXPENSES FORM</t>
  </si>
  <si>
    <t>Utopia, Inc.</t>
  </si>
  <si>
    <t>PERIOD ENDING:</t>
  </si>
  <si>
    <t xml:space="preserve"> Name:</t>
  </si>
  <si>
    <t>Note - Period will be Sunday to Saturday every week</t>
  </si>
  <si>
    <t>Project Name</t>
  </si>
  <si>
    <t>Total Expenses:</t>
  </si>
  <si>
    <t xml:space="preserve">Please enter period ending date to populate the </t>
  </si>
  <si>
    <t>Client</t>
  </si>
  <si>
    <t>individual dates below</t>
  </si>
  <si>
    <t>Location</t>
  </si>
  <si>
    <t>P.O. #</t>
  </si>
  <si>
    <t>Fill in only yellow portions; all others will auto-calculate</t>
  </si>
  <si>
    <t>USE THE BELOW LINK  TO FIND CONVERSION RATE</t>
  </si>
  <si>
    <t>P.O. Line Item #</t>
  </si>
  <si>
    <t xml:space="preserve">http://in.finance.yahoo.com/currencies/ converter  </t>
  </si>
  <si>
    <t>http://www.oanda.com/currency/converter/</t>
  </si>
  <si>
    <t xml:space="preserve">  Only for calculation to US$</t>
  </si>
  <si>
    <t>Week Day</t>
  </si>
  <si>
    <t>Date</t>
  </si>
  <si>
    <t>Merchant's Name</t>
  </si>
  <si>
    <t>Details/Purpose of Expense</t>
  </si>
  <si>
    <t xml:space="preserve">Amount in Foreign currency </t>
  </si>
  <si>
    <t>Name of the Currency</t>
  </si>
  <si>
    <t>Exchange Rate</t>
  </si>
  <si>
    <t>Amount in CAD$</t>
  </si>
  <si>
    <t>Sub total (all meals)</t>
  </si>
  <si>
    <t>Hotel Exp (mention daily rate incl tax)</t>
  </si>
  <si>
    <t>Hotel Internet (pre-approved)</t>
  </si>
  <si>
    <t>Airfare</t>
  </si>
  <si>
    <t>Airfare/Baggage</t>
  </si>
  <si>
    <t>Parking</t>
  </si>
  <si>
    <t>Tolls</t>
  </si>
  <si>
    <t>Taxi/Shuttle Bus</t>
  </si>
  <si>
    <t>Train</t>
  </si>
  <si>
    <t>Auto Rental</t>
  </si>
  <si>
    <t>Gas (rental cars only)</t>
  </si>
  <si>
    <t>Other Expenses</t>
  </si>
  <si>
    <t>Mileage/Private Car/Total Miles #</t>
  </si>
  <si>
    <t>Grand Total</t>
  </si>
  <si>
    <t xml:space="preserve"> If expenses incurred within US (DOMESTIC) &amp; Outside US (INTERNATIONAL) (Select from Drop Down List)</t>
  </si>
  <si>
    <t>Paid by PERSONAL / Utopia CORPORATE Card* (Select from Drop Down List)</t>
  </si>
  <si>
    <t>SPECIFY IF YOU HAVE USED OTHERS CORPORATE CARD FOR YOUR PAYMENTS (Eg: Adil's card)</t>
  </si>
  <si>
    <t xml:space="preserve"> If expenses incurred are Utopia Expenses or Client Expenses  (Select from Drop Down List)</t>
  </si>
  <si>
    <t>If expenses incurred for client then the Billable Client Name</t>
  </si>
  <si>
    <t>Receipt File Name</t>
  </si>
  <si>
    <t>Do NOT Use
(req'd for 
mileage calc)</t>
  </si>
  <si>
    <t>Domestic</t>
  </si>
  <si>
    <t>Personal card/Cash</t>
  </si>
  <si>
    <t>Client Exp</t>
  </si>
  <si>
    <t>International</t>
  </si>
  <si>
    <t>Utopia Exp</t>
  </si>
  <si>
    <t>For Payment</t>
  </si>
  <si>
    <t xml:space="preserve">Total Expenses </t>
  </si>
  <si>
    <t>Cell contains formula</t>
  </si>
  <si>
    <t>Less : Utopia CORPORATE card</t>
  </si>
  <si>
    <t>Less : OTHERS CORPORATE card</t>
  </si>
  <si>
    <t>Less Advance</t>
  </si>
  <si>
    <t>Enter only Advance received</t>
  </si>
  <si>
    <t>Mandatory fields</t>
  </si>
  <si>
    <t>NET DUE</t>
  </si>
  <si>
    <t xml:space="preserve">* subject to the limits prescribed by customer travel policy </t>
  </si>
  <si>
    <t>For Information and Accounting</t>
  </si>
  <si>
    <t>PERSONAL Card/Cash</t>
  </si>
  <si>
    <t xml:space="preserve">Client Expenses </t>
  </si>
  <si>
    <t xml:space="preserve">Utopia Expenses </t>
  </si>
  <si>
    <t>Friday</t>
  </si>
  <si>
    <t>Utopia Corporate Card</t>
  </si>
  <si>
    <t>Saturday</t>
  </si>
  <si>
    <t>OTHERS Corporate Card</t>
  </si>
  <si>
    <t>SUN</t>
  </si>
  <si>
    <t>MON</t>
  </si>
  <si>
    <t>TUE</t>
  </si>
  <si>
    <t>WED</t>
  </si>
  <si>
    <t>THU</t>
  </si>
  <si>
    <t>FRI</t>
  </si>
  <si>
    <t>SAT</t>
  </si>
  <si>
    <t>Instructions given BELOW for better understanding.</t>
  </si>
  <si>
    <t>ON THE TOP</t>
  </si>
  <si>
    <t>Mention the Name , Project Name, Client &amp; Location</t>
  </si>
  <si>
    <t xml:space="preserve">We have given currencies on the Top Right side of the Sheet. The link has been given to get Conversion rates. Mention the Conversion rates in the related cells and link the same if you have incurred expenses in Currencies other than USD. To simlify, some comman currencies have been provided (CAD , INR &amp; AED). For other currencies please change accordingly. </t>
  </si>
  <si>
    <t>Columns</t>
  </si>
  <si>
    <t>COLUMN A– Week day - Mandatory for Project persons</t>
  </si>
  <si>
    <r>
      <t xml:space="preserve">COLUMN B – Date of expenditure  -- </t>
    </r>
    <r>
      <rPr>
        <b/>
        <sz val="11"/>
        <color indexed="10"/>
        <rFont val="Calibri"/>
        <family val="2"/>
      </rPr>
      <t>Mandatory</t>
    </r>
  </si>
  <si>
    <r>
      <t xml:space="preserve">COLUMN C – Merchant's Name is the Supplier name – as given in the Bill submitted to support expenses - Note: Bill is required (credit card swiping slips are NOT ACCEPTED)  -- </t>
    </r>
    <r>
      <rPr>
        <b/>
        <sz val="11"/>
        <color indexed="10"/>
        <rFont val="Calibri"/>
        <family val="2"/>
      </rPr>
      <t>Mandatory</t>
    </r>
  </si>
  <si>
    <r>
      <t xml:space="preserve">COLUMN D  - Fill in the Detail &amp; purpose for expenses incurred  --- </t>
    </r>
    <r>
      <rPr>
        <b/>
        <sz val="11"/>
        <color indexed="10"/>
        <rFont val="Calibri"/>
        <family val="2"/>
      </rPr>
      <t>Mandatory</t>
    </r>
  </si>
  <si>
    <t>COLUMN E to G  - To be filled in by Project Persons ONLY</t>
  </si>
  <si>
    <t>COLUMN H - Sub-Total for all Meals - Autocalculated</t>
  </si>
  <si>
    <t>COLUMN I to R - Fill the amounts in the respective colums as per expenses incurred</t>
  </si>
  <si>
    <t>COLUMN S – Use this column to enter amount not specified in the previous columns - Note: Please Specify in column D the Detail &amp; Purpose of expenses</t>
  </si>
  <si>
    <t>COLUMN T - Input the Mileage details  - Enter the Miles  - The amount is calculated in Column U</t>
  </si>
  <si>
    <t>COLUMN U - The Mileage amount is Auto calculated in Column U</t>
  </si>
  <si>
    <t>COLUMN V - Grand Total is Auto Calculated</t>
  </si>
  <si>
    <t>COLUMN W - If expenses incurred within US (Choose DOMESTIC) &amp; Outside US (Choose INTERNATIONAL) (Select from Drop Down List)</t>
  </si>
  <si>
    <t>COLUMN X – If the expenses are Paid by Personal card or cash (choose PERSONAL) or if expenses are incurred on COMPANY card (choose UTOPIA CORPORATE CARD) -  (Select from Drop Down List) - Note: Choose OTHERS CORPORATE CARD if expenses are incurred using Others Corporate card - eg: if Adil's card is used for Hotel Stay</t>
  </si>
  <si>
    <t>COLUMN Y - When you Choose OTHERS CORPORATE CARD in Column Y you need to specify the person's name -  eg: if Adil's card is used for Hotel Stay</t>
  </si>
  <si>
    <t>COLUMN Z – If expenses are incurred for Client work (Expenses that can be billed to the client) or Utopia Expenses (eg: Travel to client place to meet the client or for supervision purpose – which Utopia cannot bill to the Client)</t>
  </si>
  <si>
    <t>Column AA– If the expenses are incurred for the Client – Please mention the Billable Client name, eg: Exxon, SEC etc.</t>
  </si>
  <si>
    <t>Towards the bottom of the sheet are cells that contains formulas (Please do not alter). Only enter advance if any received in the cell provided.</t>
  </si>
  <si>
    <t>Exch Rate</t>
  </si>
  <si>
    <t>Buy Delta</t>
  </si>
  <si>
    <t>Actual
Scotia Buy</t>
  </si>
  <si>
    <t>Rate to
Use</t>
  </si>
  <si>
    <t>Last known</t>
  </si>
  <si>
    <t>Mileage  @55.5 Cents a mile</t>
  </si>
  <si>
    <t>Salim Jaffer</t>
  </si>
  <si>
    <t>21/09/2019</t>
  </si>
  <si>
    <t>Air Canada</t>
  </si>
  <si>
    <t>Baggage fee</t>
  </si>
  <si>
    <t xml:space="preserve">Air Canada </t>
  </si>
  <si>
    <t>Air Canada - Checked in Baggage fee from Calgary to Toronto - Sept 19th, 2019.pdf</t>
  </si>
  <si>
    <t>Air Canada - Checked in Baggage fee from Toronto to Calgary - Sept 15th, 2019.pdf</t>
  </si>
  <si>
    <t>ATPS Taxi and Limo Services</t>
  </si>
  <si>
    <t>Taxi to Airport</t>
  </si>
  <si>
    <t>Cab Receipt - From Home to Toronto Pearson Airport - Sept 15th, 2019.pdf</t>
  </si>
  <si>
    <t>Airport VIP Limo</t>
  </si>
  <si>
    <t>Taxi from Airport to home</t>
  </si>
  <si>
    <t>Cab Receipt - From Toronto Airport to Home - Sept 20th, 2019.pdf</t>
  </si>
  <si>
    <t>Petro-Canada</t>
  </si>
  <si>
    <t>Gas for Rental Car</t>
  </si>
  <si>
    <t>Gas Receipt - Rent a Car - Calgary - Sept 19th, 2019.pdf</t>
  </si>
  <si>
    <t>Expedia</t>
  </si>
  <si>
    <t xml:space="preserve">Flights </t>
  </si>
  <si>
    <t>Invoice - Itinerary_ Calgary - Sept 15th - Sept 19th, 2019 - Sept 4th, 2019.pdf</t>
  </si>
  <si>
    <t>Misty Ridge Retreat BB</t>
  </si>
  <si>
    <t>Accommodation</t>
  </si>
  <si>
    <t>Invoice _1041_from_Misty_Ridge_Retreat_BB - Accomodation - Sept 15-19th, 2019.pdf</t>
  </si>
  <si>
    <t>KFC</t>
  </si>
  <si>
    <t>Meal</t>
  </si>
  <si>
    <t>Meal - Dinner Receipt - Sept. 15th, 2019.pdf</t>
  </si>
  <si>
    <t>Edo Japan</t>
  </si>
  <si>
    <t>Meal - Dinner Receipt - Sept. 16th, 2019.pdf</t>
  </si>
  <si>
    <t xml:space="preserve">Little Spice Ltd. </t>
  </si>
  <si>
    <t>Meal - Dinner Receipt - Sept. 17th, 2019.pdf</t>
  </si>
  <si>
    <t>Meal - Dinner Receipt - Sept. 18th, 2019.pdf</t>
  </si>
  <si>
    <t>Meal - Dinner Receipt - Sept. 19th, 2019.pdf</t>
  </si>
  <si>
    <t xml:space="preserve">Nutrien </t>
  </si>
  <si>
    <t>PO 8491 Nutrien - SAP FICO onsite Workshop</t>
  </si>
  <si>
    <t>Calgary, AB</t>
  </si>
  <si>
    <t>Chicken on the Way</t>
  </si>
  <si>
    <t xml:space="preserve">Meal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</si>
</sst>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CAD]\ #,##0.00"/>
  </numFmts>
  <fonts count="17" x14ac:knownFonts="1">
    <font>
      <sz val="11"/>
      <color theme="1"/>
      <name val="Calibri"/>
      <family val="2"/>
      <scheme val="minor"/>
    </font>
    <font>
      <sz val="8"/>
      <name val="Arial"/>
      <family val="2"/>
    </font>
    <font>
      <b/>
      <sz val="8"/>
      <name val="Arial"/>
      <family val="2"/>
    </font>
    <font>
      <sz val="8"/>
      <color indexed="81"/>
      <name val="Tahoma"/>
      <family val="2"/>
    </font>
    <font>
      <i/>
      <sz val="8"/>
      <name val="Arial"/>
      <family val="2"/>
    </font>
    <font>
      <b/>
      <sz val="11"/>
      <color indexed="10"/>
      <name val="Calibri"/>
      <family val="2"/>
    </font>
    <font>
      <sz val="8"/>
      <name val="MS Sans Serif"/>
      <family val="2"/>
    </font>
    <font>
      <b/>
      <sz val="14"/>
      <name val="Arial"/>
      <family val="2"/>
    </font>
    <font>
      <sz val="11"/>
      <color theme="1"/>
      <name val="Calibri"/>
      <family val="2"/>
      <scheme val="minor"/>
    </font>
    <font>
      <u/>
      <sz val="11"/>
      <color theme="10"/>
      <name val="Calibri"/>
      <family val="2"/>
    </font>
    <font>
      <sz val="8"/>
      <color theme="1"/>
      <name val="Arial"/>
      <family val="2"/>
    </font>
    <font>
      <b/>
      <sz val="8"/>
      <color theme="1"/>
      <name val="Arial"/>
      <family val="2"/>
    </font>
    <font>
      <b/>
      <u/>
      <sz val="11"/>
      <color rgb="FF0F243E"/>
      <name val="Calibri"/>
      <family val="2"/>
    </font>
    <font>
      <b/>
      <sz val="11"/>
      <color rgb="FF0F243E"/>
      <name val="Calibri"/>
      <family val="2"/>
    </font>
    <font>
      <b/>
      <sz val="7"/>
      <color theme="1"/>
      <name val="Arial"/>
      <family val="2"/>
    </font>
    <font>
      <i/>
      <sz val="8"/>
      <color theme="1"/>
      <name val="Arial"/>
      <family val="2"/>
    </font>
    <font>
      <sz val="8"/>
      <color theme="0"/>
      <name val="Arial"/>
      <family val="2"/>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CECFF"/>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rgb="FFFFDF9F"/>
        <bgColor indexed="64"/>
      </patternFill>
    </fill>
    <fill>
      <patternFill patternType="solid">
        <fgColor rgb="FF90CCDC"/>
        <bgColor indexed="64"/>
      </patternFill>
    </fill>
    <fill>
      <patternFill patternType="solid">
        <fgColor rgb="FFDBD7BF"/>
        <bgColor indexed="64"/>
      </patternFill>
    </fill>
    <fill>
      <patternFill patternType="solid">
        <fgColor rgb="FFD5EFFF"/>
        <bgColor indexed="64"/>
      </patternFill>
    </fill>
    <fill>
      <patternFill patternType="solid">
        <fgColor theme="0" tint="-0.14999847407452621"/>
        <bgColor indexed="64"/>
      </patternFill>
    </fill>
    <fill>
      <patternFill patternType="solid">
        <fgColor rgb="FF808080"/>
        <bgColor indexed="64"/>
      </patternFill>
    </fill>
    <fill>
      <patternFill patternType="solid">
        <fgColor theme="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43" fontId="8"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cellStyleXfs>
  <cellXfs count="153">
    <xf numFmtId="0" fontId="0" fillId="0" borderId="0" xfId="0"/>
    <xf numFmtId="0" fontId="10" fillId="0" borderId="0" xfId="0" applyFont="1"/>
    <xf numFmtId="0" fontId="1" fillId="0" borderId="0" xfId="0" applyFont="1" applyFill="1" applyBorder="1"/>
    <xf numFmtId="0" fontId="1" fillId="0" borderId="0" xfId="0" applyFont="1" applyBorder="1" applyAlignment="1">
      <alignment horizontal="left"/>
    </xf>
    <xf numFmtId="0" fontId="1" fillId="0" borderId="0" xfId="0" applyFont="1" applyBorder="1"/>
    <xf numFmtId="0" fontId="10" fillId="0" borderId="0" xfId="0" applyFont="1" applyBorder="1"/>
    <xf numFmtId="164" fontId="11" fillId="4" borderId="1" xfId="0" applyNumberFormat="1" applyFont="1" applyFill="1" applyBorder="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4" xfId="0" applyFont="1" applyFill="1" applyBorder="1" applyAlignment="1">
      <alignment vertical="center"/>
    </xf>
    <xf numFmtId="0" fontId="2" fillId="5" borderId="4" xfId="0" applyFont="1" applyFill="1" applyBorder="1" applyAlignment="1">
      <alignment vertical="center"/>
    </xf>
    <xf numFmtId="0" fontId="1" fillId="0" borderId="5" xfId="0" applyFont="1" applyFill="1" applyBorder="1" applyAlignment="1">
      <alignment vertical="center"/>
    </xf>
    <xf numFmtId="164" fontId="10" fillId="0" borderId="0" xfId="0" applyNumberFormat="1" applyFont="1"/>
    <xf numFmtId="4" fontId="10" fillId="0" borderId="0" xfId="0" applyNumberFormat="1" applyFont="1"/>
    <xf numFmtId="164" fontId="10" fillId="4" borderId="1" xfId="0" applyNumberFormat="1" applyFont="1" applyFill="1" applyBorder="1" applyAlignment="1">
      <alignment horizontal="center"/>
    </xf>
    <xf numFmtId="0" fontId="9" fillId="0" borderId="0" xfId="3" applyAlignment="1" applyProtection="1"/>
    <xf numFmtId="0" fontId="10" fillId="6" borderId="0" xfId="0" applyFont="1" applyFill="1"/>
    <xf numFmtId="0" fontId="1" fillId="0" borderId="0" xfId="0" applyFont="1" applyFill="1" applyBorder="1" applyAlignment="1">
      <alignment horizontal="left" vertical="center"/>
    </xf>
    <xf numFmtId="0" fontId="0" fillId="0" borderId="0" xfId="0" applyAlignment="1">
      <alignment wrapText="1"/>
    </xf>
    <xf numFmtId="0" fontId="0" fillId="6" borderId="6" xfId="0" applyFill="1" applyBorder="1"/>
    <xf numFmtId="0" fontId="0" fillId="6" borderId="7" xfId="0" applyFill="1" applyBorder="1"/>
    <xf numFmtId="0" fontId="12" fillId="7" borderId="8" xfId="0" applyFont="1" applyFill="1" applyBorder="1" applyAlignment="1">
      <alignment wrapText="1"/>
    </xf>
    <xf numFmtId="0" fontId="13" fillId="7" borderId="0" xfId="0" applyFont="1" applyFill="1" applyBorder="1" applyAlignment="1">
      <alignment wrapText="1"/>
    </xf>
    <xf numFmtId="0" fontId="12" fillId="7" borderId="0" xfId="0" applyFont="1" applyFill="1" applyBorder="1" applyAlignment="1">
      <alignment wrapText="1"/>
    </xf>
    <xf numFmtId="0" fontId="0" fillId="6" borderId="9" xfId="0" applyFill="1" applyBorder="1" applyAlignment="1">
      <alignment wrapText="1"/>
    </xf>
    <xf numFmtId="0" fontId="0" fillId="6" borderId="10" xfId="0" applyFill="1" applyBorder="1"/>
    <xf numFmtId="0" fontId="0" fillId="6" borderId="11" xfId="0" applyFill="1" applyBorder="1"/>
    <xf numFmtId="0" fontId="13" fillId="7" borderId="12" xfId="0" applyFont="1" applyFill="1" applyBorder="1" applyAlignment="1">
      <alignment wrapText="1"/>
    </xf>
    <xf numFmtId="0" fontId="13" fillId="7" borderId="13" xfId="0" applyFont="1" applyFill="1" applyBorder="1" applyAlignment="1">
      <alignment wrapText="1"/>
    </xf>
    <xf numFmtId="0" fontId="13" fillId="7" borderId="14" xfId="0" applyFont="1" applyFill="1" applyBorder="1" applyAlignment="1">
      <alignment wrapText="1"/>
    </xf>
    <xf numFmtId="0" fontId="4" fillId="0" borderId="0" xfId="0" applyFont="1" applyBorder="1"/>
    <xf numFmtId="0" fontId="4" fillId="0" borderId="0" xfId="0" applyFont="1" applyFill="1" applyBorder="1"/>
    <xf numFmtId="0" fontId="14" fillId="8" borderId="15" xfId="0" applyFont="1" applyFill="1" applyBorder="1" applyAlignment="1">
      <alignment vertical="center" wrapText="1"/>
    </xf>
    <xf numFmtId="0" fontId="14" fillId="6" borderId="15" xfId="0" applyFont="1" applyFill="1" applyBorder="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164" fontId="10" fillId="9" borderId="1" xfId="0" applyNumberFormat="1" applyFont="1" applyFill="1" applyBorder="1" applyAlignment="1">
      <alignment horizontal="center"/>
    </xf>
    <xf numFmtId="164" fontId="11" fillId="9" borderId="1" xfId="0" applyNumberFormat="1" applyFont="1" applyFill="1" applyBorder="1" applyAlignment="1">
      <alignment horizontal="center"/>
    </xf>
    <xf numFmtId="0" fontId="11" fillId="0" borderId="0" xfId="0" applyFont="1"/>
    <xf numFmtId="0" fontId="14" fillId="0" borderId="0" xfId="0" applyFont="1" applyBorder="1"/>
    <xf numFmtId="0" fontId="1" fillId="10" borderId="4" xfId="0" applyFont="1" applyFill="1" applyBorder="1" applyAlignment="1">
      <alignment vertical="center"/>
    </xf>
    <xf numFmtId="0" fontId="9" fillId="0" borderId="0" xfId="3" applyBorder="1" applyAlignment="1" applyProtection="1"/>
    <xf numFmtId="0" fontId="15" fillId="0" borderId="0" xfId="0" applyFont="1" applyBorder="1"/>
    <xf numFmtId="0" fontId="1" fillId="0" borderId="16" xfId="0" applyFont="1" applyFill="1" applyBorder="1" applyAlignment="1">
      <alignment vertical="center"/>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4" fillId="11" borderId="3" xfId="0" applyFont="1" applyFill="1" applyBorder="1"/>
    <xf numFmtId="0" fontId="4" fillId="11" borderId="2" xfId="0" applyFont="1" applyFill="1" applyBorder="1"/>
    <xf numFmtId="0" fontId="1" fillId="11" borderId="2" xfId="0" applyFont="1" applyFill="1" applyBorder="1"/>
    <xf numFmtId="0" fontId="1" fillId="11" borderId="15" xfId="0" applyFont="1" applyFill="1" applyBorder="1"/>
    <xf numFmtId="0" fontId="1" fillId="0" borderId="0" xfId="0" applyFont="1" applyFill="1" applyBorder="1" applyAlignment="1">
      <alignment vertical="center"/>
    </xf>
    <xf numFmtId="0" fontId="10" fillId="12" borderId="18" xfId="0" applyFont="1" applyFill="1" applyBorder="1" applyAlignment="1">
      <alignment horizontal="center" vertical="center" wrapText="1"/>
    </xf>
    <xf numFmtId="0" fontId="10" fillId="10" borderId="20" xfId="0" applyFont="1" applyFill="1" applyBorder="1" applyAlignment="1">
      <alignment horizontal="center"/>
    </xf>
    <xf numFmtId="14" fontId="1" fillId="10" borderId="21" xfId="0" applyNumberFormat="1" applyFont="1" applyFill="1" applyBorder="1" applyAlignment="1">
      <alignment horizontal="center"/>
    </xf>
    <xf numFmtId="0" fontId="10" fillId="13" borderId="4" xfId="0" applyFont="1" applyFill="1" applyBorder="1"/>
    <xf numFmtId="0" fontId="10" fillId="10" borderId="4" xfId="0" applyFont="1" applyFill="1" applyBorder="1" applyAlignment="1">
      <alignment horizontal="center"/>
    </xf>
    <xf numFmtId="0" fontId="10" fillId="10" borderId="1" xfId="0" applyFont="1" applyFill="1" applyBorder="1" applyAlignment="1">
      <alignment horizontal="center"/>
    </xf>
    <xf numFmtId="14" fontId="1" fillId="10" borderId="23" xfId="0" applyNumberFormat="1" applyFont="1" applyFill="1" applyBorder="1" applyAlignment="1">
      <alignment horizontal="center"/>
    </xf>
    <xf numFmtId="0" fontId="10" fillId="13" borderId="5" xfId="0" applyFont="1" applyFill="1" applyBorder="1"/>
    <xf numFmtId="164" fontId="10" fillId="14" borderId="26" xfId="0" applyNumberFormat="1" applyFont="1" applyFill="1" applyBorder="1" applyAlignment="1">
      <alignment horizontal="center"/>
    </xf>
    <xf numFmtId="0" fontId="10" fillId="10" borderId="5" xfId="0" applyFont="1" applyFill="1" applyBorder="1" applyAlignment="1">
      <alignment horizontal="center"/>
    </xf>
    <xf numFmtId="0" fontId="10" fillId="10" borderId="26" xfId="0" applyFont="1" applyFill="1" applyBorder="1" applyAlignment="1">
      <alignment horizontal="center"/>
    </xf>
    <xf numFmtId="0" fontId="10" fillId="10" borderId="24" xfId="0" applyFont="1" applyFill="1" applyBorder="1" applyAlignment="1">
      <alignment horizontal="center"/>
    </xf>
    <xf numFmtId="0" fontId="10" fillId="13" borderId="9" xfId="0" applyFont="1" applyFill="1" applyBorder="1"/>
    <xf numFmtId="165" fontId="10" fillId="10" borderId="19" xfId="0" applyNumberFormat="1" applyFont="1" applyFill="1" applyBorder="1" applyAlignment="1">
      <alignment horizontal="center"/>
    </xf>
    <xf numFmtId="165" fontId="10" fillId="10" borderId="14" xfId="0" applyNumberFormat="1" applyFont="1" applyFill="1" applyBorder="1" applyAlignment="1">
      <alignment horizontal="center"/>
    </xf>
    <xf numFmtId="165" fontId="10" fillId="10" borderId="20" xfId="0" applyNumberFormat="1" applyFont="1" applyFill="1" applyBorder="1" applyAlignment="1">
      <alignment horizontal="center"/>
    </xf>
    <xf numFmtId="165" fontId="11" fillId="15" borderId="28" xfId="0" applyNumberFormat="1" applyFont="1" applyFill="1" applyBorder="1" applyAlignment="1">
      <alignment horizontal="center"/>
    </xf>
    <xf numFmtId="165" fontId="10" fillId="10" borderId="4" xfId="0" applyNumberFormat="1" applyFont="1" applyFill="1" applyBorder="1" applyAlignment="1">
      <alignment horizontal="center"/>
    </xf>
    <xf numFmtId="165" fontId="10" fillId="10" borderId="1" xfId="0" applyNumberFormat="1" applyFont="1" applyFill="1" applyBorder="1" applyAlignment="1">
      <alignment horizontal="center"/>
    </xf>
    <xf numFmtId="165" fontId="11" fillId="15" borderId="29" xfId="0" applyNumberFormat="1" applyFont="1" applyFill="1" applyBorder="1" applyAlignment="1">
      <alignment horizontal="center"/>
    </xf>
    <xf numFmtId="165" fontId="10" fillId="16" borderId="20" xfId="0" applyNumberFormat="1" applyFont="1" applyFill="1" applyBorder="1" applyAlignment="1">
      <alignment horizontal="center"/>
    </xf>
    <xf numFmtId="165" fontId="10" fillId="10" borderId="5" xfId="0" applyNumberFormat="1" applyFont="1" applyFill="1" applyBorder="1" applyAlignment="1">
      <alignment horizontal="center"/>
    </xf>
    <xf numFmtId="165" fontId="10" fillId="10" borderId="26" xfId="0" applyNumberFormat="1" applyFont="1" applyFill="1" applyBorder="1" applyAlignment="1">
      <alignment horizontal="center"/>
    </xf>
    <xf numFmtId="165" fontId="10" fillId="10" borderId="24" xfId="0" applyNumberFormat="1" applyFont="1" applyFill="1" applyBorder="1" applyAlignment="1">
      <alignment horizontal="center"/>
    </xf>
    <xf numFmtId="165" fontId="10" fillId="16" borderId="27" xfId="0" applyNumberFormat="1" applyFont="1" applyFill="1" applyBorder="1" applyAlignment="1">
      <alignment horizontal="center"/>
    </xf>
    <xf numFmtId="165" fontId="11" fillId="16" borderId="30" xfId="0" applyNumberFormat="1" applyFont="1" applyFill="1" applyBorder="1" applyAlignment="1">
      <alignment horizontal="center"/>
    </xf>
    <xf numFmtId="165" fontId="10" fillId="0" borderId="31" xfId="0" applyNumberFormat="1" applyFont="1" applyBorder="1"/>
    <xf numFmtId="165" fontId="11" fillId="11" borderId="32" xfId="0" applyNumberFormat="1" applyFont="1" applyFill="1" applyBorder="1" applyAlignment="1">
      <alignment horizontal="center"/>
    </xf>
    <xf numFmtId="165" fontId="10" fillId="4" borderId="1" xfId="0" applyNumberFormat="1" applyFont="1" applyFill="1" applyBorder="1" applyAlignment="1">
      <alignment horizontal="center"/>
    </xf>
    <xf numFmtId="165" fontId="11" fillId="9" borderId="1" xfId="0" applyNumberFormat="1" applyFont="1" applyFill="1" applyBorder="1" applyAlignment="1">
      <alignment horizontal="center"/>
    </xf>
    <xf numFmtId="165" fontId="10" fillId="0" borderId="0" xfId="0" applyNumberFormat="1" applyFont="1"/>
    <xf numFmtId="0" fontId="11" fillId="10" borderId="1" xfId="0" applyNumberFormat="1" applyFont="1" applyFill="1" applyBorder="1" applyAlignment="1">
      <alignment horizontal="center"/>
    </xf>
    <xf numFmtId="0" fontId="11" fillId="10" borderId="26" xfId="0" applyNumberFormat="1" applyFont="1" applyFill="1" applyBorder="1" applyAlignment="1">
      <alignment horizontal="center"/>
    </xf>
    <xf numFmtId="0" fontId="10" fillId="0" borderId="37" xfId="0" applyFont="1" applyBorder="1" applyAlignment="1">
      <alignment horizontal="center"/>
    </xf>
    <xf numFmtId="164" fontId="10" fillId="14" borderId="38" xfId="0" applyNumberFormat="1" applyFont="1" applyFill="1" applyBorder="1" applyAlignment="1">
      <alignment horizontal="center"/>
    </xf>
    <xf numFmtId="0" fontId="10" fillId="17" borderId="39" xfId="0" applyNumberFormat="1" applyFont="1" applyFill="1" applyBorder="1" applyAlignment="1">
      <alignment horizontal="center"/>
    </xf>
    <xf numFmtId="164" fontId="10" fillId="17" borderId="20" xfId="0" applyNumberFormat="1" applyFont="1" applyFill="1" applyBorder="1" applyAlignment="1">
      <alignment horizontal="center"/>
    </xf>
    <xf numFmtId="0" fontId="10" fillId="13" borderId="22" xfId="0" applyFont="1" applyFill="1" applyBorder="1" applyAlignment="1">
      <alignment wrapText="1"/>
    </xf>
    <xf numFmtId="0" fontId="10" fillId="0" borderId="19" xfId="0" applyFont="1" applyBorder="1" applyAlignment="1">
      <alignment horizontal="center"/>
    </xf>
    <xf numFmtId="164" fontId="10" fillId="14" borderId="14" xfId="0" applyNumberFormat="1" applyFont="1" applyFill="1" applyBorder="1" applyAlignment="1">
      <alignment horizontal="center"/>
    </xf>
    <xf numFmtId="0" fontId="10" fillId="17" borderId="1" xfId="0" applyNumberFormat="1" applyFont="1" applyFill="1" applyBorder="1" applyAlignment="1">
      <alignment horizontal="center"/>
    </xf>
    <xf numFmtId="0" fontId="10" fillId="13" borderId="24" xfId="0" applyFont="1" applyFill="1" applyBorder="1" applyAlignment="1">
      <alignment wrapText="1"/>
    </xf>
    <xf numFmtId="0" fontId="10" fillId="17" borderId="26" xfId="0" applyNumberFormat="1" applyFont="1" applyFill="1" applyBorder="1" applyAlignment="1">
      <alignment horizontal="center"/>
    </xf>
    <xf numFmtId="164" fontId="10" fillId="17" borderId="27" xfId="0" applyNumberFormat="1" applyFont="1" applyFill="1" applyBorder="1" applyAlignment="1">
      <alignment horizontal="center"/>
    </xf>
    <xf numFmtId="165" fontId="11" fillId="15" borderId="40" xfId="0" applyNumberFormat="1" applyFont="1" applyFill="1" applyBorder="1" applyAlignment="1">
      <alignment horizontal="center"/>
    </xf>
    <xf numFmtId="0" fontId="10" fillId="12" borderId="41" xfId="0" applyFont="1" applyFill="1" applyBorder="1" applyAlignment="1">
      <alignment horizontal="center" vertical="center" wrapText="1"/>
    </xf>
    <xf numFmtId="0" fontId="10" fillId="14" borderId="42" xfId="0" applyFont="1" applyFill="1" applyBorder="1" applyAlignment="1">
      <alignment horizontal="center" vertical="center" wrapText="1"/>
    </xf>
    <xf numFmtId="0" fontId="10" fillId="14" borderId="39" xfId="0" applyFont="1" applyFill="1" applyBorder="1" applyAlignment="1">
      <alignment horizontal="center" vertical="center" wrapText="1"/>
    </xf>
    <xf numFmtId="0" fontId="10" fillId="17" borderId="39" xfId="0" applyFont="1" applyFill="1" applyBorder="1" applyAlignment="1">
      <alignment horizontal="center" vertical="center" wrapText="1"/>
    </xf>
    <xf numFmtId="0" fontId="10" fillId="12" borderId="43" xfId="0" applyFont="1" applyFill="1" applyBorder="1" applyAlignment="1">
      <alignment horizontal="center" vertical="center" wrapText="1"/>
    </xf>
    <xf numFmtId="0" fontId="10" fillId="13" borderId="41" xfId="0" applyFont="1" applyFill="1" applyBorder="1" applyAlignment="1">
      <alignment horizontal="center" wrapText="1"/>
    </xf>
    <xf numFmtId="0" fontId="10" fillId="13" borderId="44" xfId="0" applyFont="1" applyFill="1" applyBorder="1" applyAlignment="1">
      <alignment horizontal="center" wrapText="1"/>
    </xf>
    <xf numFmtId="0" fontId="10" fillId="17" borderId="44" xfId="0" applyFont="1" applyFill="1" applyBorder="1" applyAlignment="1">
      <alignment horizontal="center" vertical="center" wrapText="1"/>
    </xf>
    <xf numFmtId="0" fontId="10" fillId="12" borderId="39" xfId="0" applyFont="1" applyFill="1" applyBorder="1" applyAlignment="1">
      <alignment horizontal="center" vertical="center" wrapText="1"/>
    </xf>
    <xf numFmtId="0" fontId="10" fillId="12" borderId="44" xfId="0" applyFont="1" applyFill="1" applyBorder="1" applyAlignment="1">
      <alignment horizontal="center" vertical="center" wrapText="1"/>
    </xf>
    <xf numFmtId="0" fontId="11" fillId="15" borderId="8" xfId="0" applyFont="1" applyFill="1" applyBorder="1" applyAlignment="1">
      <alignment horizontal="center" vertical="center" wrapText="1"/>
    </xf>
    <xf numFmtId="0" fontId="10" fillId="12" borderId="45" xfId="0" applyFont="1" applyFill="1" applyBorder="1" applyAlignment="1">
      <alignment horizontal="center" vertical="center" wrapText="1"/>
    </xf>
    <xf numFmtId="0" fontId="16" fillId="18" borderId="0" xfId="0" applyFont="1" applyFill="1" applyAlignment="1">
      <alignment vertical="center" wrapText="1"/>
    </xf>
    <xf numFmtId="0" fontId="10" fillId="12" borderId="46" xfId="0" applyFont="1" applyFill="1" applyBorder="1" applyAlignment="1">
      <alignment horizontal="center" vertical="center" wrapText="1"/>
    </xf>
    <xf numFmtId="0" fontId="10" fillId="12" borderId="47" xfId="0" applyFont="1" applyFill="1" applyBorder="1" applyAlignment="1">
      <alignment horizontal="center" vertical="center" wrapText="1"/>
    </xf>
    <xf numFmtId="0" fontId="10" fillId="13" borderId="46" xfId="0" applyFont="1" applyFill="1" applyBorder="1" applyAlignment="1">
      <alignment horizontal="center" wrapText="1"/>
    </xf>
    <xf numFmtId="0" fontId="10" fillId="13" borderId="27" xfId="0" applyFont="1" applyFill="1" applyBorder="1" applyAlignment="1">
      <alignment horizontal="center" wrapText="1"/>
    </xf>
    <xf numFmtId="0" fontId="10" fillId="14" borderId="48" xfId="0" applyFont="1" applyFill="1" applyBorder="1" applyAlignment="1">
      <alignment horizontal="center" vertical="center" wrapText="1"/>
    </xf>
    <xf numFmtId="0" fontId="10" fillId="14" borderId="49"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27" xfId="0" applyFont="1" applyFill="1" applyBorder="1" applyAlignment="1">
      <alignment horizontal="center" vertical="center" wrapText="1"/>
    </xf>
    <xf numFmtId="0" fontId="10" fillId="12" borderId="49" xfId="0" applyFont="1" applyFill="1" applyBorder="1" applyAlignment="1">
      <alignment horizontal="center" vertical="center" wrapText="1"/>
    </xf>
    <xf numFmtId="0" fontId="10" fillId="12" borderId="27" xfId="0" applyFont="1" applyFill="1" applyBorder="1" applyAlignment="1">
      <alignment horizontal="center" vertical="center" wrapText="1"/>
    </xf>
    <xf numFmtId="0" fontId="11" fillId="15" borderId="31" xfId="0" applyFont="1" applyFill="1" applyBorder="1" applyAlignment="1">
      <alignment horizontal="center" vertical="center" wrapText="1"/>
    </xf>
    <xf numFmtId="0" fontId="11" fillId="15" borderId="50" xfId="0" applyFont="1" applyFill="1" applyBorder="1" applyAlignment="1">
      <alignment horizontal="center" vertical="center" wrapText="1"/>
    </xf>
    <xf numFmtId="0" fontId="10" fillId="12" borderId="32" xfId="0" applyFont="1" applyFill="1" applyBorder="1" applyAlignment="1">
      <alignment horizontal="center" vertical="center" wrapText="1"/>
    </xf>
    <xf numFmtId="164" fontId="10" fillId="14" borderId="37" xfId="1" applyNumberFormat="1" applyFont="1" applyFill="1" applyBorder="1" applyAlignment="1">
      <alignment horizontal="center"/>
    </xf>
    <xf numFmtId="164" fontId="10" fillId="14" borderId="25" xfId="1" applyNumberFormat="1" applyFont="1" applyFill="1" applyBorder="1" applyAlignment="1">
      <alignment horizontal="center"/>
    </xf>
    <xf numFmtId="164" fontId="10" fillId="14" borderId="19" xfId="1" applyNumberFormat="1" applyFont="1" applyFill="1" applyBorder="1" applyAlignment="1">
      <alignment horizontal="center"/>
    </xf>
    <xf numFmtId="165" fontId="10" fillId="10" borderId="22" xfId="0" applyNumberFormat="1" applyFont="1" applyFill="1" applyBorder="1" applyAlignment="1">
      <alignment horizontal="center"/>
    </xf>
    <xf numFmtId="0" fontId="10" fillId="10" borderId="22" xfId="0" applyFont="1" applyFill="1" applyBorder="1" applyAlignment="1">
      <alignment horizontal="center"/>
    </xf>
    <xf numFmtId="0" fontId="10" fillId="13" borderId="4" xfId="0" quotePrefix="1" applyFont="1" applyFill="1" applyBorder="1"/>
    <xf numFmtId="0" fontId="10" fillId="13" borderId="4" xfId="0" quotePrefix="1" applyFont="1" applyFill="1" applyBorder="1" applyAlignment="1">
      <alignment wrapText="1"/>
    </xf>
    <xf numFmtId="2" fontId="11" fillId="10" borderId="1" xfId="0" applyNumberFormat="1" applyFont="1" applyFill="1" applyBorder="1" applyAlignment="1">
      <alignment horizontal="center"/>
    </xf>
    <xf numFmtId="0" fontId="10" fillId="10" borderId="51" xfId="0" applyFont="1" applyFill="1" applyBorder="1" applyAlignment="1"/>
    <xf numFmtId="0" fontId="10" fillId="10" borderId="52" xfId="0" applyFont="1" applyFill="1" applyBorder="1" applyAlignment="1"/>
    <xf numFmtId="0" fontId="10" fillId="13" borderId="22" xfId="0" quotePrefix="1" applyFont="1" applyFill="1" applyBorder="1" applyAlignment="1">
      <alignment wrapText="1"/>
    </xf>
    <xf numFmtId="165" fontId="10" fillId="12" borderId="18" xfId="2" applyNumberFormat="1"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4" borderId="15" xfId="0" applyFont="1" applyFill="1" applyBorder="1" applyAlignment="1">
      <alignment horizontal="center" vertical="center" wrapText="1"/>
    </xf>
    <xf numFmtId="0" fontId="1" fillId="10" borderId="1" xfId="0" applyFont="1" applyFill="1" applyBorder="1" applyAlignment="1">
      <alignment horizontal="left" vertical="center"/>
    </xf>
    <xf numFmtId="0" fontId="1" fillId="10" borderId="22" xfId="0" applyFont="1" applyFill="1" applyBorder="1" applyAlignment="1">
      <alignment horizontal="left" vertical="center"/>
    </xf>
    <xf numFmtId="164" fontId="2" fillId="5" borderId="21" xfId="2" applyNumberFormat="1" applyFont="1" applyFill="1" applyBorder="1" applyAlignment="1">
      <alignment horizontal="left" vertical="center"/>
    </xf>
    <xf numFmtId="44" fontId="2" fillId="5" borderId="33" xfId="2" applyFont="1" applyFill="1" applyBorder="1" applyAlignment="1">
      <alignment horizontal="left" vertical="center"/>
    </xf>
    <xf numFmtId="0" fontId="1" fillId="0" borderId="1" xfId="0" applyFont="1" applyFill="1" applyBorder="1" applyAlignment="1">
      <alignment horizontal="left" vertical="center"/>
    </xf>
    <xf numFmtId="0" fontId="1" fillId="0" borderId="22" xfId="0" applyFont="1" applyFill="1" applyBorder="1" applyAlignment="1">
      <alignment horizontal="left" vertical="center"/>
    </xf>
    <xf numFmtId="0" fontId="1" fillId="0" borderId="26" xfId="0" applyFont="1" applyFill="1" applyBorder="1" applyAlignment="1">
      <alignment horizontal="left" vertical="center"/>
    </xf>
    <xf numFmtId="0" fontId="1" fillId="0" borderId="24" xfId="0" applyFont="1" applyFill="1" applyBorder="1" applyAlignment="1">
      <alignment horizontal="left" vertical="center"/>
    </xf>
    <xf numFmtId="14" fontId="7" fillId="0" borderId="0" xfId="4" applyNumberFormat="1" applyFont="1" applyAlignment="1">
      <alignment horizontal="center"/>
    </xf>
    <xf numFmtId="0" fontId="2" fillId="10" borderId="34" xfId="0" applyFont="1" applyFill="1" applyBorder="1" applyAlignment="1">
      <alignment horizontal="center" vertical="center"/>
    </xf>
    <xf numFmtId="0" fontId="2" fillId="10" borderId="35" xfId="0" applyFont="1" applyFill="1" applyBorder="1" applyAlignment="1">
      <alignment horizontal="center" vertical="center"/>
    </xf>
    <xf numFmtId="0" fontId="2" fillId="10" borderId="36"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4" fillId="0" borderId="0" xfId="0" applyFont="1" applyBorder="1" applyAlignment="1">
      <alignment horizontal="center" wrapText="1"/>
    </xf>
    <xf numFmtId="0" fontId="10" fillId="13" borderId="22" xfId="0" applyFont="1" applyFill="1" applyBorder="1" applyAlignment="1">
      <alignment horizontal="left" wrapText="1"/>
    </xf>
    <xf numFmtId="0" fontId="10" fillId="13" borderId="22" xfId="0" quotePrefix="1" applyFont="1" applyFill="1" applyBorder="1" applyAlignment="1">
      <alignment horizontal="left" wrapText="1"/>
    </xf>
  </cellXfs>
  <cellStyles count="5">
    <cellStyle name="Comma" xfId="1" builtinId="3"/>
    <cellStyle name="Currency" xfId="2" builtinId="4"/>
    <cellStyle name="Hyperlink" xfId="3" builtinId="8"/>
    <cellStyle name="Normal" xfId="0" builtinId="0"/>
    <cellStyle name="Normal_AUS"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0C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152400</xdr:colOff>
      <xdr:row>4</xdr:row>
      <xdr:rowOff>142875</xdr:rowOff>
    </xdr:to>
    <xdr:pic>
      <xdr:nvPicPr>
        <xdr:cNvPr id="1195" name="Picture 1" descr="Utopia-logo-Document Use">
          <a:extLst>
            <a:ext uri="{FF2B5EF4-FFF2-40B4-BE49-F238E27FC236}">
              <a16:creationId xmlns:a16="http://schemas.microsoft.com/office/drawing/2014/main" id="{00000000-0008-0000-0000-0000A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1066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finance.yahoo.com/currencies/%20conver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AH248"/>
  <sheetViews>
    <sheetView showGridLines="0" showZeros="0" tabSelected="1" zoomScale="110" zoomScaleNormal="110" workbookViewId="0">
      <pane xSplit="5" topLeftCell="Z1" activePane="topRight" state="frozen"/>
      <selection activeCell="A8" sqref="A8"/>
      <selection pane="topRight" activeCell="AC33" sqref="AC33"/>
    </sheetView>
  </sheetViews>
  <sheetFormatPr defaultColWidth="11.453125" defaultRowHeight="10" x14ac:dyDescent="0.2"/>
  <cols>
    <col min="1" max="1" width="3.1796875" style="1" customWidth="1"/>
    <col min="2" max="2" width="13.81640625" style="1" customWidth="1"/>
    <col min="3" max="3" width="22" style="1" customWidth="1"/>
    <col min="4" max="4" width="29.26953125" style="1" bestFit="1" customWidth="1"/>
    <col min="5" max="5" width="27.453125" style="1" bestFit="1" customWidth="1"/>
    <col min="6" max="16" width="11.453125" style="1" customWidth="1"/>
    <col min="17" max="17" width="12.453125" style="1" bestFit="1" customWidth="1"/>
    <col min="18" max="18" width="12.1796875" style="1" customWidth="1"/>
    <col min="19" max="21" width="11.453125" style="1" customWidth="1"/>
    <col min="22" max="22" width="26.26953125" style="1" bestFit="1" customWidth="1"/>
    <col min="23" max="23" width="11.453125" style="1" customWidth="1"/>
    <col min="24" max="24" width="23.7265625" style="1" bestFit="1" customWidth="1"/>
    <col min="25" max="25" width="12.453125" style="1" customWidth="1"/>
    <col min="26" max="26" width="11.453125" style="1" customWidth="1"/>
    <col min="27" max="27" width="10.81640625" style="1" customWidth="1"/>
    <col min="28" max="28" width="20.1796875" style="1" customWidth="1"/>
    <col min="29" max="29" width="20" style="1" customWidth="1"/>
    <col min="30" max="30" width="18" style="1" customWidth="1"/>
    <col min="31" max="31" width="16.26953125" style="1" customWidth="1"/>
    <col min="32" max="32" width="16" style="1" customWidth="1"/>
    <col min="33" max="33" width="51.26953125" style="1" bestFit="1" customWidth="1"/>
    <col min="34" max="16384" width="11.453125" style="1"/>
  </cols>
  <sheetData>
    <row r="3" spans="2:32" ht="15" customHeight="1" x14ac:dyDescent="0.4">
      <c r="D3" s="145" t="s">
        <v>0</v>
      </c>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row>
    <row r="5" spans="2:32" ht="10.5" thickBot="1" x14ac:dyDescent="0.25"/>
    <row r="6" spans="2:32" ht="11" thickBot="1" x14ac:dyDescent="0.25">
      <c r="B6" s="146" t="s">
        <v>1</v>
      </c>
      <c r="C6" s="147"/>
      <c r="D6" s="148"/>
      <c r="E6" s="17"/>
      <c r="G6" s="8" t="s">
        <v>2</v>
      </c>
      <c r="H6" s="7"/>
      <c r="I6" s="7"/>
      <c r="J6" s="149" t="s">
        <v>106</v>
      </c>
      <c r="K6" s="149"/>
      <c r="L6" s="33" t="s">
        <v>68</v>
      </c>
      <c r="M6" s="32"/>
      <c r="N6" s="5"/>
      <c r="O6" s="5"/>
      <c r="R6" s="39"/>
      <c r="S6" s="5"/>
      <c r="T6" s="5"/>
      <c r="U6" s="5"/>
    </row>
    <row r="7" spans="2:32" ht="14.5" x14ac:dyDescent="0.35">
      <c r="B7" s="40" t="s">
        <v>3</v>
      </c>
      <c r="C7" s="137" t="s">
        <v>105</v>
      </c>
      <c r="D7" s="138"/>
      <c r="E7" s="17"/>
      <c r="G7" s="4"/>
      <c r="H7" s="4"/>
      <c r="I7" s="4"/>
      <c r="J7" s="4"/>
      <c r="K7" s="4"/>
      <c r="L7" s="4"/>
      <c r="M7" s="5"/>
      <c r="N7" s="5"/>
      <c r="O7" s="5"/>
      <c r="R7" s="41"/>
      <c r="S7" s="5"/>
      <c r="T7" s="5"/>
      <c r="U7" s="5"/>
    </row>
    <row r="8" spans="2:32" x14ac:dyDescent="0.2">
      <c r="B8" s="40"/>
      <c r="C8" s="137"/>
      <c r="D8" s="138"/>
      <c r="E8" s="17"/>
      <c r="G8" s="30" t="s">
        <v>4</v>
      </c>
      <c r="H8" s="4"/>
      <c r="I8" s="4"/>
      <c r="J8" s="4"/>
      <c r="K8" s="4"/>
      <c r="L8" s="4"/>
      <c r="M8" s="5"/>
      <c r="N8" s="5"/>
      <c r="O8" s="5"/>
      <c r="R8" s="150"/>
      <c r="S8" s="150"/>
      <c r="T8" s="150"/>
      <c r="U8" s="5"/>
    </row>
    <row r="9" spans="2:32" x14ac:dyDescent="0.2">
      <c r="B9" s="40" t="s">
        <v>5</v>
      </c>
      <c r="C9" s="137" t="s">
        <v>137</v>
      </c>
      <c r="D9" s="138"/>
      <c r="E9" s="17"/>
      <c r="G9" s="30"/>
      <c r="H9" s="4"/>
      <c r="I9" s="4"/>
      <c r="J9" s="4"/>
      <c r="K9" s="4"/>
      <c r="L9" s="4"/>
      <c r="M9" s="5"/>
      <c r="N9" s="5"/>
      <c r="O9" s="5"/>
      <c r="R9" s="42"/>
      <c r="S9" s="5"/>
      <c r="T9" s="5"/>
      <c r="U9" s="5"/>
    </row>
    <row r="10" spans="2:32" ht="10.5" x14ac:dyDescent="0.2">
      <c r="B10" s="10" t="s">
        <v>6</v>
      </c>
      <c r="C10" s="139">
        <f>AA44</f>
        <v>2406.2599999999998</v>
      </c>
      <c r="D10" s="140"/>
      <c r="E10" s="17"/>
      <c r="G10" s="30" t="s">
        <v>7</v>
      </c>
      <c r="H10" s="4"/>
      <c r="I10" s="4"/>
      <c r="J10" s="4"/>
      <c r="K10" s="4"/>
      <c r="L10" s="2"/>
      <c r="M10" s="5"/>
      <c r="N10" s="5"/>
      <c r="O10" s="5"/>
      <c r="R10" s="42"/>
      <c r="S10" s="5"/>
      <c r="T10" s="5"/>
      <c r="U10" s="5"/>
    </row>
    <row r="11" spans="2:32" x14ac:dyDescent="0.2">
      <c r="B11" s="40" t="s">
        <v>8</v>
      </c>
      <c r="C11" s="137" t="s">
        <v>136</v>
      </c>
      <c r="D11" s="138"/>
      <c r="E11" s="17"/>
      <c r="G11" s="31" t="s">
        <v>9</v>
      </c>
      <c r="H11" s="2"/>
      <c r="I11" s="2"/>
      <c r="J11" s="2"/>
      <c r="K11" s="2"/>
      <c r="L11" s="4"/>
      <c r="M11" s="5"/>
      <c r="N11" s="5"/>
      <c r="O11" s="5"/>
      <c r="R11" s="42"/>
      <c r="S11" s="5"/>
      <c r="T11" s="5"/>
      <c r="U11" s="5"/>
    </row>
    <row r="12" spans="2:32" x14ac:dyDescent="0.2">
      <c r="B12" s="40" t="s">
        <v>10</v>
      </c>
      <c r="C12" s="137" t="s">
        <v>138</v>
      </c>
      <c r="D12" s="138"/>
      <c r="E12" s="17"/>
      <c r="G12" s="30"/>
      <c r="H12" s="4"/>
      <c r="I12" s="4"/>
      <c r="J12" s="4"/>
      <c r="K12" s="4"/>
      <c r="L12" s="4"/>
      <c r="M12" s="5"/>
      <c r="N12" s="5"/>
      <c r="O12" s="5"/>
    </row>
    <row r="13" spans="2:32" ht="10.5" thickBot="1" x14ac:dyDescent="0.25">
      <c r="B13" s="9" t="s">
        <v>11</v>
      </c>
      <c r="C13" s="141">
        <v>8491</v>
      </c>
      <c r="D13" s="142"/>
      <c r="E13" s="17"/>
      <c r="G13" s="30" t="s">
        <v>12</v>
      </c>
      <c r="H13" s="4"/>
      <c r="I13" s="4"/>
      <c r="J13" s="4"/>
      <c r="K13" s="4"/>
    </row>
    <row r="14" spans="2:32" ht="10.5" thickBot="1" x14ac:dyDescent="0.25">
      <c r="B14" s="43"/>
      <c r="C14" s="44"/>
      <c r="D14" s="45"/>
      <c r="E14" s="17"/>
      <c r="F14" s="46" t="s">
        <v>13</v>
      </c>
      <c r="G14" s="47"/>
      <c r="H14" s="48"/>
      <c r="I14" s="48"/>
      <c r="J14" s="49"/>
      <c r="K14" s="4"/>
    </row>
    <row r="15" spans="2:32" ht="15" thickBot="1" x14ac:dyDescent="0.4">
      <c r="B15" s="11" t="s">
        <v>14</v>
      </c>
      <c r="C15" s="143"/>
      <c r="D15" s="144"/>
      <c r="E15" s="17"/>
      <c r="F15" s="15" t="s">
        <v>15</v>
      </c>
    </row>
    <row r="16" spans="2:32" ht="14.5" x14ac:dyDescent="0.35">
      <c r="B16" s="50"/>
      <c r="C16" s="17"/>
      <c r="D16" s="17"/>
      <c r="E16" s="17"/>
      <c r="F16" s="15" t="s">
        <v>16</v>
      </c>
    </row>
    <row r="17" spans="2:34" ht="14.5" x14ac:dyDescent="0.35">
      <c r="B17" s="50"/>
      <c r="C17" s="17"/>
      <c r="D17" s="17"/>
      <c r="E17" s="17"/>
      <c r="F17" s="15"/>
    </row>
    <row r="18" spans="2:34" ht="10.5" thickBot="1" x14ac:dyDescent="0.25">
      <c r="B18" s="2"/>
      <c r="C18" s="3"/>
      <c r="D18" s="3"/>
      <c r="E18" s="3"/>
    </row>
    <row r="19" spans="2:34" ht="10.5" thickBot="1" x14ac:dyDescent="0.25">
      <c r="F19" s="134" t="s">
        <v>17</v>
      </c>
      <c r="G19" s="135"/>
      <c r="H19" s="135"/>
      <c r="I19" s="136"/>
      <c r="J19" s="1">
        <f>AVERAGE('DNU - Lookups'!F3:F9)</f>
        <v>1.2886762333556168</v>
      </c>
    </row>
    <row r="20" spans="2:34" ht="50.5" thickBot="1" x14ac:dyDescent="0.25">
      <c r="B20" s="96" t="s">
        <v>18</v>
      </c>
      <c r="C20" s="100" t="s">
        <v>19</v>
      </c>
      <c r="D20" s="101" t="s">
        <v>20</v>
      </c>
      <c r="E20" s="102" t="s">
        <v>21</v>
      </c>
      <c r="F20" s="97" t="s">
        <v>22</v>
      </c>
      <c r="G20" s="98" t="s">
        <v>23</v>
      </c>
      <c r="H20" s="99" t="s">
        <v>24</v>
      </c>
      <c r="I20" s="103" t="s">
        <v>25</v>
      </c>
      <c r="J20" s="96" t="str">
        <f>"Breakfast * Limit $"&amp;TEXT(10*J19,"0.00")</f>
        <v>Breakfast * Limit $12.89</v>
      </c>
      <c r="K20" s="104" t="str">
        <f>"Lunch * Limit $"&amp;TEXT(15*J19,"0.00")</f>
        <v>Lunch * Limit $19.33</v>
      </c>
      <c r="L20" s="105" t="str">
        <f>"Dinner * Limit $"&amp;TEXT(40*J19,"0.00")</f>
        <v>Dinner * Limit $51.55</v>
      </c>
      <c r="M20" s="106" t="s">
        <v>26</v>
      </c>
      <c r="N20" s="96" t="s">
        <v>27</v>
      </c>
      <c r="O20" s="104" t="s">
        <v>28</v>
      </c>
      <c r="P20" s="104" t="s">
        <v>29</v>
      </c>
      <c r="Q20" s="104" t="s">
        <v>30</v>
      </c>
      <c r="R20" s="104" t="s">
        <v>31</v>
      </c>
      <c r="S20" s="104" t="s">
        <v>32</v>
      </c>
      <c r="T20" s="104" t="s">
        <v>33</v>
      </c>
      <c r="U20" s="104" t="s">
        <v>34</v>
      </c>
      <c r="V20" s="104" t="s">
        <v>35</v>
      </c>
      <c r="W20" s="104" t="s">
        <v>36</v>
      </c>
      <c r="X20" s="104" t="s">
        <v>37</v>
      </c>
      <c r="Y20" s="104" t="s">
        <v>38</v>
      </c>
      <c r="Z20" s="51" t="s">
        <v>104</v>
      </c>
      <c r="AA20" s="106" t="s">
        <v>39</v>
      </c>
      <c r="AB20" s="96" t="s">
        <v>40</v>
      </c>
      <c r="AC20" s="104" t="s">
        <v>41</v>
      </c>
      <c r="AD20" s="104" t="s">
        <v>42</v>
      </c>
      <c r="AE20" s="104" t="s">
        <v>43</v>
      </c>
      <c r="AF20" s="104" t="s">
        <v>44</v>
      </c>
      <c r="AG20" s="107" t="s">
        <v>45</v>
      </c>
      <c r="AH20" s="108" t="s">
        <v>46</v>
      </c>
    </row>
    <row r="21" spans="2:34" ht="11" thickBot="1" x14ac:dyDescent="0.25">
      <c r="B21" s="109"/>
      <c r="C21" s="110"/>
      <c r="D21" s="111"/>
      <c r="E21" s="112"/>
      <c r="F21" s="113"/>
      <c r="G21" s="114"/>
      <c r="H21" s="115"/>
      <c r="I21" s="116"/>
      <c r="J21" s="109"/>
      <c r="K21" s="117"/>
      <c r="L21" s="118"/>
      <c r="M21" s="119"/>
      <c r="N21" s="109"/>
      <c r="O21" s="117"/>
      <c r="P21" s="117"/>
      <c r="Q21" s="117"/>
      <c r="R21" s="117"/>
      <c r="S21" s="117"/>
      <c r="T21" s="117"/>
      <c r="U21" s="117"/>
      <c r="V21" s="117"/>
      <c r="W21" s="117"/>
      <c r="X21" s="117"/>
      <c r="Y21" s="117"/>
      <c r="Z21" s="133">
        <f>IF(ISERR(0.5*SUM($H$22:$H$45)/COUNTIF(AH22:AH45,1)),0.555*1.33,0.5*SUM($H$22:$H$45)/COUNTIF(AH22:AH45,1))</f>
        <v>0.73815000000000008</v>
      </c>
      <c r="AA21" s="120"/>
      <c r="AB21" s="109"/>
      <c r="AC21" s="117"/>
      <c r="AD21" s="117"/>
      <c r="AE21" s="117"/>
      <c r="AF21" s="117"/>
      <c r="AG21" s="121"/>
      <c r="AH21" s="108"/>
    </row>
    <row r="22" spans="2:34" ht="10.5" x14ac:dyDescent="0.25">
      <c r="B22" s="84" t="str">
        <f>VLOOKUP(WEEKDAY(C22),'DNU - Lookups'!$A$3:$B$9,2,FALSE)</f>
        <v>THU</v>
      </c>
      <c r="C22" s="53">
        <v>43727</v>
      </c>
      <c r="D22" s="54" t="s">
        <v>107</v>
      </c>
      <c r="E22" s="151" t="s">
        <v>108</v>
      </c>
      <c r="F22" s="122"/>
      <c r="G22" s="85"/>
      <c r="H22" s="86">
        <f>IF(ISBLANK(F22),0,I22/F22)</f>
        <v>0</v>
      </c>
      <c r="I22" s="87">
        <v>31.5</v>
      </c>
      <c r="J22" s="64"/>
      <c r="K22" s="65"/>
      <c r="L22" s="66"/>
      <c r="M22" s="67">
        <f t="shared" ref="M22:M30" si="0">SUM(J22:L22)</f>
        <v>0</v>
      </c>
      <c r="N22" s="68"/>
      <c r="O22" s="69"/>
      <c r="P22" s="69"/>
      <c r="Q22" s="69">
        <v>31.5</v>
      </c>
      <c r="R22" s="69"/>
      <c r="S22" s="69"/>
      <c r="T22" s="69"/>
      <c r="U22" s="69"/>
      <c r="V22" s="69"/>
      <c r="W22" s="69"/>
      <c r="X22" s="69"/>
      <c r="Y22" s="82"/>
      <c r="Z22" s="71">
        <f>+Y22*$Z$21</f>
        <v>0</v>
      </c>
      <c r="AA22" s="70">
        <f t="shared" ref="AA22:AA30" si="1">SUM(M22,N22:X22,Z22)</f>
        <v>31.5</v>
      </c>
      <c r="AB22" s="55" t="s">
        <v>47</v>
      </c>
      <c r="AC22" s="56" t="s">
        <v>48</v>
      </c>
      <c r="AD22" s="56"/>
      <c r="AE22" s="56" t="s">
        <v>51</v>
      </c>
      <c r="AF22" s="52"/>
      <c r="AG22" s="130" t="s">
        <v>110</v>
      </c>
      <c r="AH22" s="108">
        <f>IF(AND(G22="USD",H22&gt;0),1,0)</f>
        <v>0</v>
      </c>
    </row>
    <row r="23" spans="2:34" ht="10.5" x14ac:dyDescent="0.25">
      <c r="B23" s="89" t="str">
        <f>VLOOKUP(WEEKDAY(C23),'DNU - Lookups'!$A$3:$B$9,2,FALSE)</f>
        <v>SUN</v>
      </c>
      <c r="C23" s="53">
        <v>43723</v>
      </c>
      <c r="D23" s="54" t="s">
        <v>109</v>
      </c>
      <c r="E23" s="151" t="s">
        <v>108</v>
      </c>
      <c r="F23" s="124"/>
      <c r="G23" s="90"/>
      <c r="H23" s="91">
        <f>IF(ISBLANK(F23),0,I23/F23)</f>
        <v>0</v>
      </c>
      <c r="I23" s="87">
        <v>33.9</v>
      </c>
      <c r="J23" s="64"/>
      <c r="K23" s="65"/>
      <c r="L23" s="66"/>
      <c r="M23" s="67">
        <f t="shared" ref="M23" si="2">SUM(J23:L23)</f>
        <v>0</v>
      </c>
      <c r="N23" s="68"/>
      <c r="O23" s="69"/>
      <c r="P23" s="69"/>
      <c r="Q23" s="69">
        <v>33.9</v>
      </c>
      <c r="R23" s="69"/>
      <c r="S23" s="69"/>
      <c r="T23" s="69"/>
      <c r="U23" s="69"/>
      <c r="V23" s="69"/>
      <c r="W23" s="69"/>
      <c r="X23" s="69"/>
      <c r="Y23" s="82"/>
      <c r="Z23" s="71">
        <f t="shared" ref="Z23:Z41" si="3">+Y23*$Z$21</f>
        <v>0</v>
      </c>
      <c r="AA23" s="70">
        <f t="shared" ref="AA23" si="4">SUM(M23,N23:X23,Z23)</f>
        <v>33.9</v>
      </c>
      <c r="AB23" s="55" t="s">
        <v>47</v>
      </c>
      <c r="AC23" s="56" t="s">
        <v>48</v>
      </c>
      <c r="AD23" s="56"/>
      <c r="AE23" s="56" t="s">
        <v>51</v>
      </c>
      <c r="AF23" s="52"/>
      <c r="AG23" s="130" t="s">
        <v>111</v>
      </c>
      <c r="AH23" s="108">
        <f t="shared" ref="AH23:AH43" si="5">IF(AND(G23="USD",H23&gt;0),1,0)</f>
        <v>0</v>
      </c>
    </row>
    <row r="24" spans="2:34" ht="10.5" x14ac:dyDescent="0.25">
      <c r="B24" s="89" t="str">
        <f>VLOOKUP(WEEKDAY(C24),'DNU - Lookups'!$A$3:$B$9,2,FALSE)</f>
        <v>FRI</v>
      </c>
      <c r="C24" s="53">
        <v>43728</v>
      </c>
      <c r="D24" s="54" t="s">
        <v>112</v>
      </c>
      <c r="E24" s="151" t="s">
        <v>113</v>
      </c>
      <c r="F24" s="124"/>
      <c r="G24" s="90"/>
      <c r="H24" s="91">
        <f t="shared" ref="H24:H30" si="6">IF(ISBLANK(F24),0,I24/F24)</f>
        <v>0</v>
      </c>
      <c r="I24" s="87">
        <v>95</v>
      </c>
      <c r="J24" s="64"/>
      <c r="K24" s="65"/>
      <c r="L24" s="66"/>
      <c r="M24" s="67">
        <f t="shared" si="0"/>
        <v>0</v>
      </c>
      <c r="N24" s="68"/>
      <c r="O24" s="69"/>
      <c r="P24" s="69"/>
      <c r="Q24" s="69"/>
      <c r="R24" s="69"/>
      <c r="S24" s="69"/>
      <c r="T24" s="69">
        <v>95</v>
      </c>
      <c r="U24" s="69"/>
      <c r="V24" s="69"/>
      <c r="W24" s="69"/>
      <c r="X24" s="69"/>
      <c r="Y24" s="82"/>
      <c r="Z24" s="71">
        <f t="shared" si="3"/>
        <v>0</v>
      </c>
      <c r="AA24" s="70">
        <f t="shared" ref="AA24:AA28" si="7">SUM(M24,N24:X24,Z24)</f>
        <v>95</v>
      </c>
      <c r="AB24" s="55" t="s">
        <v>47</v>
      </c>
      <c r="AC24" s="56" t="s">
        <v>48</v>
      </c>
      <c r="AD24" s="56"/>
      <c r="AE24" s="56" t="s">
        <v>51</v>
      </c>
      <c r="AF24" s="52"/>
      <c r="AG24" s="130" t="s">
        <v>117</v>
      </c>
      <c r="AH24" s="108">
        <f t="shared" si="5"/>
        <v>0</v>
      </c>
    </row>
    <row r="25" spans="2:34" ht="10.5" x14ac:dyDescent="0.25">
      <c r="B25" s="89" t="str">
        <f>VLOOKUP(WEEKDAY(C25),'DNU - Lookups'!$A$3:$B$9,2,FALSE)</f>
        <v>SUN</v>
      </c>
      <c r="C25" s="53">
        <v>43723</v>
      </c>
      <c r="D25" s="127" t="s">
        <v>115</v>
      </c>
      <c r="E25" s="151" t="s">
        <v>116</v>
      </c>
      <c r="F25" s="124"/>
      <c r="G25" s="90"/>
      <c r="H25" s="91">
        <f t="shared" si="6"/>
        <v>0</v>
      </c>
      <c r="I25" s="87">
        <v>93</v>
      </c>
      <c r="J25" s="64"/>
      <c r="K25" s="65"/>
      <c r="L25" s="66"/>
      <c r="M25" s="67">
        <f t="shared" si="0"/>
        <v>0</v>
      </c>
      <c r="N25" s="68"/>
      <c r="O25" s="69"/>
      <c r="P25" s="69"/>
      <c r="Q25" s="69"/>
      <c r="R25" s="69"/>
      <c r="S25" s="69"/>
      <c r="T25" s="69">
        <v>93</v>
      </c>
      <c r="U25" s="69"/>
      <c r="V25" s="69"/>
      <c r="W25" s="69"/>
      <c r="X25" s="69"/>
      <c r="Y25" s="82"/>
      <c r="Z25" s="71">
        <f t="shared" si="3"/>
        <v>0</v>
      </c>
      <c r="AA25" s="70">
        <f t="shared" si="7"/>
        <v>93</v>
      </c>
      <c r="AB25" s="55" t="s">
        <v>47</v>
      </c>
      <c r="AC25" s="56" t="s">
        <v>48</v>
      </c>
      <c r="AD25" s="56"/>
      <c r="AE25" s="56" t="s">
        <v>51</v>
      </c>
      <c r="AF25" s="52"/>
      <c r="AG25" s="130" t="s">
        <v>114</v>
      </c>
      <c r="AH25" s="108">
        <f t="shared" si="5"/>
        <v>0</v>
      </c>
    </row>
    <row r="26" spans="2:34" ht="10.5" x14ac:dyDescent="0.25">
      <c r="B26" s="89" t="str">
        <f>VLOOKUP(WEEKDAY(C26),'DNU - Lookups'!$A$3:$B$9,2,FALSE)</f>
        <v>THU</v>
      </c>
      <c r="C26" s="53">
        <v>43727</v>
      </c>
      <c r="D26" s="127" t="s">
        <v>118</v>
      </c>
      <c r="E26" s="151" t="s">
        <v>119</v>
      </c>
      <c r="F26" s="124"/>
      <c r="G26" s="90"/>
      <c r="H26" s="91">
        <f t="shared" si="6"/>
        <v>0</v>
      </c>
      <c r="I26" s="87">
        <v>28.42</v>
      </c>
      <c r="J26" s="64"/>
      <c r="K26" s="65"/>
      <c r="L26" s="66"/>
      <c r="M26" s="67">
        <f t="shared" si="0"/>
        <v>0</v>
      </c>
      <c r="N26" s="68"/>
      <c r="O26" s="69"/>
      <c r="P26" s="69"/>
      <c r="Q26" s="69"/>
      <c r="R26" s="69"/>
      <c r="S26" s="69"/>
      <c r="T26" s="69"/>
      <c r="U26" s="69"/>
      <c r="V26" s="69"/>
      <c r="W26" s="69">
        <v>28.42</v>
      </c>
      <c r="X26" s="69"/>
      <c r="Y26" s="82"/>
      <c r="Z26" s="71">
        <f t="shared" si="3"/>
        <v>0</v>
      </c>
      <c r="AA26" s="70">
        <f t="shared" si="7"/>
        <v>28.42</v>
      </c>
      <c r="AB26" s="55" t="s">
        <v>47</v>
      </c>
      <c r="AC26" s="56" t="s">
        <v>48</v>
      </c>
      <c r="AD26" s="56"/>
      <c r="AE26" s="56" t="s">
        <v>51</v>
      </c>
      <c r="AF26" s="52"/>
      <c r="AG26" s="130" t="s">
        <v>120</v>
      </c>
      <c r="AH26" s="108">
        <f t="shared" si="5"/>
        <v>0</v>
      </c>
    </row>
    <row r="27" spans="2:34" ht="10.5" x14ac:dyDescent="0.25">
      <c r="B27" s="34" t="str">
        <f>VLOOKUP(WEEKDAY(C27),'DNU - Lookups'!$A$3:$B$9,2,FALSE)</f>
        <v>SUN</v>
      </c>
      <c r="C27" s="53">
        <v>43723</v>
      </c>
      <c r="D27" s="127" t="s">
        <v>121</v>
      </c>
      <c r="E27" s="151" t="s">
        <v>122</v>
      </c>
      <c r="F27" s="124"/>
      <c r="G27" s="90"/>
      <c r="H27" s="91">
        <f t="shared" ref="H27" si="8">IF(ISBLANK(F27),0,I27/F27)</f>
        <v>0</v>
      </c>
      <c r="I27" s="87">
        <v>1296.03</v>
      </c>
      <c r="J27" s="64"/>
      <c r="K27" s="65"/>
      <c r="L27" s="66"/>
      <c r="M27" s="67">
        <f t="shared" ref="M27" si="9">SUM(J27:L27)</f>
        <v>0</v>
      </c>
      <c r="N27" s="68"/>
      <c r="O27" s="69"/>
      <c r="P27" s="69">
        <v>1296.03</v>
      </c>
      <c r="Q27" s="69"/>
      <c r="R27" s="69"/>
      <c r="S27" s="69"/>
      <c r="T27" s="69"/>
      <c r="U27" s="69"/>
      <c r="V27" s="69"/>
      <c r="W27" s="69"/>
      <c r="X27" s="69"/>
      <c r="Y27" s="82"/>
      <c r="Z27" s="71">
        <f t="shared" si="3"/>
        <v>0</v>
      </c>
      <c r="AA27" s="70">
        <f t="shared" ref="AA27" si="10">SUM(M27,N27:X27,Z27)</f>
        <v>1296.03</v>
      </c>
      <c r="AB27" s="55" t="s">
        <v>47</v>
      </c>
      <c r="AC27" s="56" t="s">
        <v>48</v>
      </c>
      <c r="AD27" s="56"/>
      <c r="AE27" s="56" t="s">
        <v>51</v>
      </c>
      <c r="AF27" s="52"/>
      <c r="AG27" s="130" t="s">
        <v>123</v>
      </c>
      <c r="AH27" s="108">
        <f t="shared" si="5"/>
        <v>0</v>
      </c>
    </row>
    <row r="28" spans="2:34" ht="10.5" x14ac:dyDescent="0.25">
      <c r="B28" s="34" t="str">
        <f>VLOOKUP(WEEKDAY(C28),'DNU - Lookups'!$A$3:$B$9,2,FALSE)</f>
        <v>SUN</v>
      </c>
      <c r="C28" s="53">
        <v>43723</v>
      </c>
      <c r="D28" s="127" t="s">
        <v>124</v>
      </c>
      <c r="E28" s="151" t="s">
        <v>125</v>
      </c>
      <c r="F28" s="90"/>
      <c r="G28" s="90"/>
      <c r="H28" s="91">
        <f t="shared" si="6"/>
        <v>0</v>
      </c>
      <c r="I28" s="87">
        <v>756</v>
      </c>
      <c r="J28" s="64"/>
      <c r="K28" s="65"/>
      <c r="L28" s="66"/>
      <c r="M28" s="67">
        <f t="shared" si="0"/>
        <v>0</v>
      </c>
      <c r="N28" s="68">
        <v>756</v>
      </c>
      <c r="O28" s="69"/>
      <c r="P28" s="69"/>
      <c r="Q28" s="69"/>
      <c r="R28" s="69"/>
      <c r="S28" s="69"/>
      <c r="T28" s="69"/>
      <c r="U28" s="69"/>
      <c r="V28" s="69"/>
      <c r="W28" s="69"/>
      <c r="X28" s="69"/>
      <c r="Y28" s="82"/>
      <c r="Z28" s="71">
        <f t="shared" si="3"/>
        <v>0</v>
      </c>
      <c r="AA28" s="70">
        <f t="shared" si="7"/>
        <v>756</v>
      </c>
      <c r="AB28" s="55" t="s">
        <v>47</v>
      </c>
      <c r="AC28" s="56" t="s">
        <v>48</v>
      </c>
      <c r="AD28" s="56"/>
      <c r="AE28" s="56" t="s">
        <v>51</v>
      </c>
      <c r="AF28" s="52"/>
      <c r="AG28" s="130" t="s">
        <v>126</v>
      </c>
      <c r="AH28" s="108">
        <f t="shared" si="5"/>
        <v>0</v>
      </c>
    </row>
    <row r="29" spans="2:34" ht="10.5" x14ac:dyDescent="0.25">
      <c r="B29" s="34" t="str">
        <f>VLOOKUP(WEEKDAY(C29),'DNU - Lookups'!$A$3:$B$9,2,FALSE)</f>
        <v>SUN</v>
      </c>
      <c r="C29" s="53">
        <v>43723</v>
      </c>
      <c r="D29" s="127" t="s">
        <v>127</v>
      </c>
      <c r="E29" s="152" t="s">
        <v>128</v>
      </c>
      <c r="F29" s="90"/>
      <c r="G29" s="90"/>
      <c r="H29" s="91">
        <f t="shared" si="6"/>
        <v>0</v>
      </c>
      <c r="I29" s="87">
        <v>13.21</v>
      </c>
      <c r="J29" s="64"/>
      <c r="K29" s="65"/>
      <c r="L29" s="66">
        <v>13.21</v>
      </c>
      <c r="M29" s="70">
        <f t="shared" si="0"/>
        <v>13.21</v>
      </c>
      <c r="N29" s="68"/>
      <c r="O29" s="69"/>
      <c r="P29" s="69"/>
      <c r="Q29" s="69"/>
      <c r="R29" s="69"/>
      <c r="S29" s="69"/>
      <c r="T29" s="69"/>
      <c r="U29" s="69"/>
      <c r="V29" s="69"/>
      <c r="W29" s="69"/>
      <c r="X29" s="69"/>
      <c r="Y29" s="82"/>
      <c r="Z29" s="71">
        <f t="shared" si="3"/>
        <v>0</v>
      </c>
      <c r="AA29" s="70">
        <f t="shared" si="1"/>
        <v>13.21</v>
      </c>
      <c r="AB29" s="55" t="s">
        <v>47</v>
      </c>
      <c r="AC29" s="56" t="s">
        <v>48</v>
      </c>
      <c r="AD29" s="56"/>
      <c r="AE29" s="56" t="s">
        <v>51</v>
      </c>
      <c r="AF29" s="52"/>
      <c r="AG29" s="130" t="s">
        <v>129</v>
      </c>
      <c r="AH29" s="108">
        <f t="shared" si="5"/>
        <v>0</v>
      </c>
    </row>
    <row r="30" spans="2:34" ht="10.5" x14ac:dyDescent="0.25">
      <c r="B30" s="89" t="str">
        <f>VLOOKUP(WEEKDAY(C30),'DNU - Lookups'!$A$3:$B$9,2,FALSE)</f>
        <v>MON</v>
      </c>
      <c r="C30" s="53">
        <v>43724</v>
      </c>
      <c r="D30" s="127" t="s">
        <v>130</v>
      </c>
      <c r="E30" s="88" t="s">
        <v>128</v>
      </c>
      <c r="F30" s="124"/>
      <c r="G30" s="90"/>
      <c r="H30" s="91">
        <f t="shared" si="6"/>
        <v>0</v>
      </c>
      <c r="I30" s="87">
        <v>12.23</v>
      </c>
      <c r="J30" s="68"/>
      <c r="K30" s="69"/>
      <c r="L30" s="66">
        <v>12.23</v>
      </c>
      <c r="M30" s="67">
        <f t="shared" si="0"/>
        <v>12.23</v>
      </c>
      <c r="N30" s="68"/>
      <c r="O30" s="69"/>
      <c r="P30" s="69"/>
      <c r="Q30" s="69"/>
      <c r="R30" s="69"/>
      <c r="S30" s="69"/>
      <c r="T30" s="69"/>
      <c r="U30" s="69"/>
      <c r="V30" s="69"/>
      <c r="W30" s="69"/>
      <c r="X30" s="69"/>
      <c r="Y30" s="82"/>
      <c r="Z30" s="71">
        <f t="shared" si="3"/>
        <v>0</v>
      </c>
      <c r="AA30" s="70">
        <f t="shared" si="1"/>
        <v>12.23</v>
      </c>
      <c r="AB30" s="55" t="s">
        <v>47</v>
      </c>
      <c r="AC30" s="56" t="s">
        <v>48</v>
      </c>
      <c r="AD30" s="56"/>
      <c r="AE30" s="56" t="s">
        <v>51</v>
      </c>
      <c r="AF30" s="52"/>
      <c r="AG30" s="130" t="s">
        <v>131</v>
      </c>
      <c r="AH30" s="108">
        <f t="shared" si="5"/>
        <v>0</v>
      </c>
    </row>
    <row r="31" spans="2:34" ht="10.5" customHeight="1" x14ac:dyDescent="0.25">
      <c r="B31" s="89" t="str">
        <f>VLOOKUP(WEEKDAY(C31),'DNU - Lookups'!$A$3:$B$9,2,FALSE)</f>
        <v>TUE</v>
      </c>
      <c r="C31" s="53">
        <v>43725</v>
      </c>
      <c r="D31" s="128" t="s">
        <v>132</v>
      </c>
      <c r="E31" s="88" t="s">
        <v>128</v>
      </c>
      <c r="F31" s="124"/>
      <c r="G31" s="90"/>
      <c r="H31" s="91">
        <f t="shared" ref="H31:H42" si="11">IF(ISBLANK(F31),0,I31/F31)</f>
        <v>0</v>
      </c>
      <c r="I31" s="87">
        <v>17.149999999999999</v>
      </c>
      <c r="J31" s="64"/>
      <c r="K31" s="65"/>
      <c r="L31" s="66">
        <v>17.149999999999999</v>
      </c>
      <c r="M31" s="67">
        <f t="shared" ref="M31:M34" si="12">SUM(J31:L31)</f>
        <v>17.149999999999999</v>
      </c>
      <c r="N31" s="68"/>
      <c r="O31" s="69"/>
      <c r="P31" s="69"/>
      <c r="Q31" s="69"/>
      <c r="R31" s="69"/>
      <c r="S31" s="69"/>
      <c r="T31" s="69"/>
      <c r="U31" s="69"/>
      <c r="V31" s="69"/>
      <c r="W31" s="69"/>
      <c r="X31" s="69"/>
      <c r="Y31" s="82"/>
      <c r="Z31" s="71">
        <f t="shared" si="3"/>
        <v>0</v>
      </c>
      <c r="AA31" s="70">
        <f t="shared" ref="AA31:AA42" si="13">SUM(M31,N31:X31,Z31)</f>
        <v>17.149999999999999</v>
      </c>
      <c r="AB31" s="55" t="s">
        <v>47</v>
      </c>
      <c r="AC31" s="56" t="s">
        <v>48</v>
      </c>
      <c r="AD31" s="56"/>
      <c r="AE31" s="56" t="s">
        <v>51</v>
      </c>
      <c r="AF31" s="52"/>
      <c r="AG31" s="130" t="s">
        <v>133</v>
      </c>
      <c r="AH31" s="108">
        <f t="shared" si="5"/>
        <v>0</v>
      </c>
    </row>
    <row r="32" spans="2:34" ht="12" customHeight="1" x14ac:dyDescent="0.25">
      <c r="B32" s="34" t="str">
        <f>VLOOKUP(WEEKDAY(C32),'DNU - Lookups'!$A$3:$B$9,2,FALSE)</f>
        <v>WED</v>
      </c>
      <c r="C32" s="53">
        <v>43726</v>
      </c>
      <c r="D32" s="128" t="s">
        <v>139</v>
      </c>
      <c r="E32" s="88" t="s">
        <v>128</v>
      </c>
      <c r="F32" s="90"/>
      <c r="G32" s="90"/>
      <c r="H32" s="91">
        <f t="shared" si="11"/>
        <v>0</v>
      </c>
      <c r="I32" s="87">
        <v>13.18</v>
      </c>
      <c r="J32" s="68"/>
      <c r="K32" s="69"/>
      <c r="L32" s="66">
        <v>13.18</v>
      </c>
      <c r="M32" s="70">
        <f t="shared" si="12"/>
        <v>13.18</v>
      </c>
      <c r="N32" s="68"/>
      <c r="O32" s="69"/>
      <c r="P32" s="69"/>
      <c r="Q32" s="69"/>
      <c r="R32" s="69"/>
      <c r="S32" s="69"/>
      <c r="T32" s="69"/>
      <c r="U32" s="69"/>
      <c r="V32" s="69"/>
      <c r="W32" s="69"/>
      <c r="X32" s="69"/>
      <c r="Y32" s="82"/>
      <c r="Z32" s="71">
        <f t="shared" si="3"/>
        <v>0</v>
      </c>
      <c r="AA32" s="70">
        <f t="shared" si="13"/>
        <v>13.18</v>
      </c>
      <c r="AB32" s="55" t="s">
        <v>47</v>
      </c>
      <c r="AC32" s="56" t="s">
        <v>48</v>
      </c>
      <c r="AD32" s="56"/>
      <c r="AE32" s="56" t="s">
        <v>51</v>
      </c>
      <c r="AF32" s="52"/>
      <c r="AG32" s="130" t="s">
        <v>134</v>
      </c>
      <c r="AH32" s="108">
        <f t="shared" si="5"/>
        <v>0</v>
      </c>
    </row>
    <row r="33" spans="2:34" ht="10.5" x14ac:dyDescent="0.25">
      <c r="B33" s="34" t="str">
        <f>VLOOKUP(WEEKDAY(C33),'DNU - Lookups'!$A$3:$B$9,2,FALSE)</f>
        <v>THU</v>
      </c>
      <c r="C33" s="53">
        <v>43727</v>
      </c>
      <c r="D33" s="127" t="s">
        <v>132</v>
      </c>
      <c r="E33" s="132" t="s">
        <v>140</v>
      </c>
      <c r="F33" s="90"/>
      <c r="G33" s="90"/>
      <c r="H33" s="91">
        <f t="shared" si="11"/>
        <v>0</v>
      </c>
      <c r="I33" s="87">
        <v>16.64</v>
      </c>
      <c r="J33" s="68"/>
      <c r="K33" s="65"/>
      <c r="L33" s="66">
        <v>16.64</v>
      </c>
      <c r="M33" s="70">
        <f t="shared" si="12"/>
        <v>16.64</v>
      </c>
      <c r="N33" s="68"/>
      <c r="O33" s="69"/>
      <c r="P33" s="69"/>
      <c r="Q33" s="69"/>
      <c r="R33" s="69"/>
      <c r="S33" s="69"/>
      <c r="T33" s="69"/>
      <c r="U33" s="69"/>
      <c r="V33" s="69"/>
      <c r="W33" s="69"/>
      <c r="X33" s="69"/>
      <c r="Y33" s="82"/>
      <c r="Z33" s="71">
        <f t="shared" si="3"/>
        <v>0</v>
      </c>
      <c r="AA33" s="70">
        <f t="shared" si="13"/>
        <v>16.64</v>
      </c>
      <c r="AB33" s="55" t="s">
        <v>47</v>
      </c>
      <c r="AC33" s="56" t="s">
        <v>48</v>
      </c>
      <c r="AD33" s="56"/>
      <c r="AE33" s="56" t="s">
        <v>51</v>
      </c>
      <c r="AF33" s="52"/>
      <c r="AG33" s="130" t="s">
        <v>135</v>
      </c>
      <c r="AH33" s="108">
        <f t="shared" si="5"/>
        <v>0</v>
      </c>
    </row>
    <row r="34" spans="2:34" ht="10.5" x14ac:dyDescent="0.25">
      <c r="B34" s="34" t="e">
        <f>VLOOKUP(WEEKDAY(C34),'DNU - Lookups'!$A$3:$B$9,2,FALSE)</f>
        <v>#VALUE!</v>
      </c>
      <c r="C34" s="53" t="e">
        <f t="shared" ref="C34:C38" si="14">$J$6-2</f>
        <v>#VALUE!</v>
      </c>
      <c r="D34" s="127"/>
      <c r="E34" s="88"/>
      <c r="F34" s="90"/>
      <c r="G34" s="90"/>
      <c r="H34" s="91">
        <f t="shared" si="11"/>
        <v>0</v>
      </c>
      <c r="I34" s="87"/>
      <c r="J34" s="68"/>
      <c r="K34" s="65"/>
      <c r="L34" s="66"/>
      <c r="M34" s="70">
        <f t="shared" si="12"/>
        <v>0</v>
      </c>
      <c r="N34" s="68"/>
      <c r="O34" s="69"/>
      <c r="P34" s="69"/>
      <c r="Q34" s="69"/>
      <c r="R34" s="69"/>
      <c r="S34" s="69"/>
      <c r="T34" s="69"/>
      <c r="U34" s="69"/>
      <c r="V34" s="69"/>
      <c r="W34" s="69"/>
      <c r="X34" s="69"/>
      <c r="Y34" s="82"/>
      <c r="Z34" s="71">
        <f t="shared" si="3"/>
        <v>0</v>
      </c>
      <c r="AA34" s="70">
        <f t="shared" si="13"/>
        <v>0</v>
      </c>
      <c r="AB34" s="55" t="s">
        <v>50</v>
      </c>
      <c r="AC34" s="56" t="s">
        <v>48</v>
      </c>
      <c r="AD34" s="56"/>
      <c r="AE34" s="56" t="s">
        <v>51</v>
      </c>
      <c r="AF34" s="52"/>
      <c r="AG34" s="130"/>
      <c r="AH34" s="108">
        <f t="shared" si="5"/>
        <v>0</v>
      </c>
    </row>
    <row r="35" spans="2:34" ht="10.5" x14ac:dyDescent="0.25">
      <c r="B35" s="89" t="e">
        <f>VLOOKUP(WEEKDAY(C35),'DNU - Lookups'!$A$3:$B$9,2,FALSE)</f>
        <v>#VALUE!</v>
      </c>
      <c r="C35" s="53" t="e">
        <f t="shared" si="14"/>
        <v>#VALUE!</v>
      </c>
      <c r="D35" s="127"/>
      <c r="E35" s="88"/>
      <c r="F35" s="90"/>
      <c r="G35" s="90"/>
      <c r="H35" s="91">
        <f t="shared" si="11"/>
        <v>0</v>
      </c>
      <c r="I35" s="87"/>
      <c r="J35" s="68"/>
      <c r="K35" s="69"/>
      <c r="L35" s="125"/>
      <c r="M35" s="70">
        <f t="shared" ref="M35:M42" si="15">SUM(J35:L35)</f>
        <v>0</v>
      </c>
      <c r="N35" s="68"/>
      <c r="O35" s="69"/>
      <c r="P35" s="69"/>
      <c r="Q35" s="69"/>
      <c r="R35" s="69"/>
      <c r="S35" s="69"/>
      <c r="T35" s="69"/>
      <c r="U35" s="69"/>
      <c r="V35" s="69"/>
      <c r="W35" s="69"/>
      <c r="X35" s="69"/>
      <c r="Y35" s="82"/>
      <c r="Z35" s="71">
        <f t="shared" si="3"/>
        <v>0</v>
      </c>
      <c r="AA35" s="70">
        <f t="shared" si="13"/>
        <v>0</v>
      </c>
      <c r="AB35" s="55" t="s">
        <v>50</v>
      </c>
      <c r="AC35" s="56" t="s">
        <v>48</v>
      </c>
      <c r="AD35" s="56"/>
      <c r="AE35" s="56" t="s">
        <v>51</v>
      </c>
      <c r="AF35" s="126"/>
      <c r="AG35" s="130"/>
      <c r="AH35" s="108">
        <f t="shared" si="5"/>
        <v>0</v>
      </c>
    </row>
    <row r="36" spans="2:34" ht="10.5" x14ac:dyDescent="0.25">
      <c r="B36" s="89" t="e">
        <f>VLOOKUP(WEEKDAY(C36),'DNU - Lookups'!$A$3:$B$9,2,FALSE)</f>
        <v>#VALUE!</v>
      </c>
      <c r="C36" s="53" t="e">
        <f t="shared" si="14"/>
        <v>#VALUE!</v>
      </c>
      <c r="D36" s="127"/>
      <c r="E36" s="88"/>
      <c r="F36" s="90"/>
      <c r="G36" s="90"/>
      <c r="H36" s="91">
        <f t="shared" ref="H36:H37" si="16">IF(ISBLANK(F36),0,I36/F36)</f>
        <v>0</v>
      </c>
      <c r="I36" s="87"/>
      <c r="J36" s="68"/>
      <c r="K36" s="69"/>
      <c r="L36" s="125"/>
      <c r="M36" s="70">
        <f t="shared" ref="M36:M37" si="17">SUM(J36:L36)</f>
        <v>0</v>
      </c>
      <c r="N36" s="68"/>
      <c r="O36" s="69"/>
      <c r="P36" s="69"/>
      <c r="Q36" s="69"/>
      <c r="R36" s="69"/>
      <c r="S36" s="69"/>
      <c r="T36" s="69"/>
      <c r="U36" s="69"/>
      <c r="V36" s="69"/>
      <c r="W36" s="69"/>
      <c r="X36" s="69"/>
      <c r="Y36" s="82"/>
      <c r="Z36" s="71">
        <f t="shared" si="3"/>
        <v>0</v>
      </c>
      <c r="AA36" s="70">
        <f t="shared" ref="AA36:AA37" si="18">SUM(M36,N36:X36,Z36)</f>
        <v>0</v>
      </c>
      <c r="AB36" s="55" t="s">
        <v>50</v>
      </c>
      <c r="AC36" s="56" t="s">
        <v>48</v>
      </c>
      <c r="AD36" s="56"/>
      <c r="AE36" s="56" t="s">
        <v>51</v>
      </c>
      <c r="AF36" s="126"/>
      <c r="AG36" s="130"/>
      <c r="AH36" s="108">
        <f t="shared" si="5"/>
        <v>0</v>
      </c>
    </row>
    <row r="37" spans="2:34" ht="10.5" x14ac:dyDescent="0.25">
      <c r="B37" s="89" t="e">
        <f>VLOOKUP(WEEKDAY(C37),'DNU - Lookups'!$A$3:$B$9,2,FALSE)</f>
        <v>#VALUE!</v>
      </c>
      <c r="C37" s="53" t="e">
        <f t="shared" si="14"/>
        <v>#VALUE!</v>
      </c>
      <c r="D37" s="128"/>
      <c r="E37" s="88"/>
      <c r="F37" s="90"/>
      <c r="G37" s="90"/>
      <c r="H37" s="91">
        <f t="shared" si="16"/>
        <v>0</v>
      </c>
      <c r="I37" s="87"/>
      <c r="J37" s="68"/>
      <c r="K37" s="69"/>
      <c r="L37" s="125"/>
      <c r="M37" s="70">
        <f t="shared" si="17"/>
        <v>0</v>
      </c>
      <c r="N37" s="68"/>
      <c r="O37" s="69"/>
      <c r="P37" s="69"/>
      <c r="Q37" s="69"/>
      <c r="R37" s="69"/>
      <c r="S37" s="69"/>
      <c r="T37" s="69"/>
      <c r="U37" s="69"/>
      <c r="V37" s="69"/>
      <c r="W37" s="69"/>
      <c r="X37" s="69"/>
      <c r="Y37" s="82"/>
      <c r="Z37" s="71">
        <f t="shared" si="3"/>
        <v>0</v>
      </c>
      <c r="AA37" s="70">
        <f t="shared" si="18"/>
        <v>0</v>
      </c>
      <c r="AB37" s="55" t="s">
        <v>50</v>
      </c>
      <c r="AC37" s="56" t="s">
        <v>48</v>
      </c>
      <c r="AD37" s="56"/>
      <c r="AE37" s="56" t="s">
        <v>51</v>
      </c>
      <c r="AF37" s="126"/>
      <c r="AG37" s="130"/>
      <c r="AH37" s="108">
        <f t="shared" si="5"/>
        <v>0</v>
      </c>
    </row>
    <row r="38" spans="2:34" ht="10.5" x14ac:dyDescent="0.25">
      <c r="B38" s="89" t="e">
        <f>VLOOKUP(WEEKDAY(C38),'DNU - Lookups'!$A$3:$B$9,2,FALSE)</f>
        <v>#VALUE!</v>
      </c>
      <c r="C38" s="53" t="e">
        <f t="shared" si="14"/>
        <v>#VALUE!</v>
      </c>
      <c r="D38" s="128"/>
      <c r="E38" s="88"/>
      <c r="F38" s="90"/>
      <c r="G38" s="90"/>
      <c r="H38" s="91">
        <f t="shared" ref="H38:H41" si="19">IF(ISBLANK(F38),0,I38/F38)</f>
        <v>0</v>
      </c>
      <c r="I38" s="87"/>
      <c r="J38" s="68"/>
      <c r="K38" s="69"/>
      <c r="L38" s="125"/>
      <c r="M38" s="70">
        <f t="shared" ref="M38:M41" si="20">SUM(J38:L38)</f>
        <v>0</v>
      </c>
      <c r="N38" s="68"/>
      <c r="O38" s="69"/>
      <c r="P38" s="69"/>
      <c r="Q38" s="69"/>
      <c r="R38" s="69"/>
      <c r="S38" s="69"/>
      <c r="T38" s="69"/>
      <c r="U38" s="69"/>
      <c r="V38" s="69"/>
      <c r="W38" s="69"/>
      <c r="X38" s="69"/>
      <c r="Y38" s="82"/>
      <c r="Z38" s="71">
        <f t="shared" si="3"/>
        <v>0</v>
      </c>
      <c r="AA38" s="70">
        <f t="shared" ref="AA38:AA41" si="21">SUM(M38,N38:X38,Z38)</f>
        <v>0</v>
      </c>
      <c r="AB38" s="55" t="s">
        <v>50</v>
      </c>
      <c r="AC38" s="56" t="s">
        <v>48</v>
      </c>
      <c r="AD38" s="56"/>
      <c r="AE38" s="56" t="s">
        <v>51</v>
      </c>
      <c r="AF38" s="126"/>
      <c r="AG38" s="130"/>
      <c r="AH38" s="108">
        <f t="shared" si="5"/>
        <v>0</v>
      </c>
    </row>
    <row r="39" spans="2:34" ht="10.5" x14ac:dyDescent="0.25">
      <c r="B39" s="89" t="e">
        <f>VLOOKUP(WEEKDAY(C39),'DNU - Lookups'!$A$3:$B$9,2,FALSE)</f>
        <v>#VALUE!</v>
      </c>
      <c r="C39" s="53" t="e">
        <f>$J$6-1</f>
        <v>#VALUE!</v>
      </c>
      <c r="D39" s="127"/>
      <c r="E39" s="88"/>
      <c r="F39" s="90"/>
      <c r="G39" s="90"/>
      <c r="H39" s="91">
        <f t="shared" si="19"/>
        <v>0</v>
      </c>
      <c r="I39" s="87">
        <f t="shared" ref="I38:I41" si="22">AA39</f>
        <v>0</v>
      </c>
      <c r="J39" s="68"/>
      <c r="K39" s="69"/>
      <c r="L39" s="125"/>
      <c r="M39" s="70">
        <f t="shared" si="20"/>
        <v>0</v>
      </c>
      <c r="N39" s="68"/>
      <c r="O39" s="69"/>
      <c r="P39" s="69"/>
      <c r="Q39" s="69"/>
      <c r="R39" s="69"/>
      <c r="S39" s="69"/>
      <c r="T39" s="69"/>
      <c r="U39" s="69"/>
      <c r="V39" s="69"/>
      <c r="W39" s="69"/>
      <c r="X39" s="69"/>
      <c r="Y39" s="82"/>
      <c r="Z39" s="71">
        <f t="shared" si="3"/>
        <v>0</v>
      </c>
      <c r="AA39" s="70">
        <f t="shared" si="21"/>
        <v>0</v>
      </c>
      <c r="AB39" s="55" t="s">
        <v>50</v>
      </c>
      <c r="AC39" s="56" t="s">
        <v>48</v>
      </c>
      <c r="AD39" s="56"/>
      <c r="AE39" s="56" t="s">
        <v>51</v>
      </c>
      <c r="AF39" s="126"/>
      <c r="AG39" s="130"/>
      <c r="AH39" s="108">
        <f t="shared" si="5"/>
        <v>0</v>
      </c>
    </row>
    <row r="40" spans="2:34" ht="10.5" x14ac:dyDescent="0.25">
      <c r="B40" s="89" t="e">
        <f>VLOOKUP(WEEKDAY(C40),'DNU - Lookups'!$A$3:$B$9,2,FALSE)</f>
        <v>#VALUE!</v>
      </c>
      <c r="C40" s="53" t="e">
        <f>$J$6-1</f>
        <v>#VALUE!</v>
      </c>
      <c r="D40" s="127"/>
      <c r="E40" s="88"/>
      <c r="F40" s="90"/>
      <c r="G40" s="90"/>
      <c r="H40" s="91">
        <f t="shared" si="19"/>
        <v>0</v>
      </c>
      <c r="I40" s="87">
        <f t="shared" si="22"/>
        <v>0</v>
      </c>
      <c r="J40" s="68"/>
      <c r="K40" s="69"/>
      <c r="L40" s="69"/>
      <c r="M40" s="70">
        <f t="shared" si="20"/>
        <v>0</v>
      </c>
      <c r="N40" s="68"/>
      <c r="O40" s="69"/>
      <c r="P40" s="69"/>
      <c r="Q40" s="69"/>
      <c r="R40" s="69"/>
      <c r="S40" s="69"/>
      <c r="T40" s="69"/>
      <c r="U40" s="69"/>
      <c r="V40" s="69"/>
      <c r="W40" s="69"/>
      <c r="X40" s="69"/>
      <c r="Y40" s="82"/>
      <c r="Z40" s="71">
        <f t="shared" si="3"/>
        <v>0</v>
      </c>
      <c r="AA40" s="70">
        <f t="shared" si="21"/>
        <v>0</v>
      </c>
      <c r="AB40" s="55" t="s">
        <v>50</v>
      </c>
      <c r="AC40" s="56" t="s">
        <v>48</v>
      </c>
      <c r="AD40" s="56"/>
      <c r="AE40" s="56" t="s">
        <v>51</v>
      </c>
      <c r="AF40" s="126"/>
      <c r="AG40" s="130"/>
      <c r="AH40" s="108">
        <f t="shared" si="5"/>
        <v>0</v>
      </c>
    </row>
    <row r="41" spans="2:34" ht="10.5" x14ac:dyDescent="0.25">
      <c r="B41" s="89" t="e">
        <f>VLOOKUP(WEEKDAY(C41),'DNU - Lookups'!$A$3:$B$9,2,FALSE)</f>
        <v>#VALUE!</v>
      </c>
      <c r="C41" s="53" t="str">
        <f>$J$6</f>
        <v>21/09/2019</v>
      </c>
      <c r="D41" s="127"/>
      <c r="E41" s="88"/>
      <c r="F41" s="90"/>
      <c r="G41" s="90"/>
      <c r="H41" s="91">
        <f t="shared" si="19"/>
        <v>0</v>
      </c>
      <c r="I41" s="87">
        <f t="shared" si="22"/>
        <v>0</v>
      </c>
      <c r="J41" s="68"/>
      <c r="K41" s="69"/>
      <c r="L41" s="69"/>
      <c r="M41" s="70">
        <f t="shared" si="20"/>
        <v>0</v>
      </c>
      <c r="N41" s="68"/>
      <c r="O41" s="69"/>
      <c r="P41" s="69"/>
      <c r="Q41" s="69"/>
      <c r="R41" s="69"/>
      <c r="S41" s="69"/>
      <c r="T41" s="69"/>
      <c r="U41" s="69"/>
      <c r="V41" s="69"/>
      <c r="W41" s="69"/>
      <c r="X41" s="69"/>
      <c r="Y41" s="82"/>
      <c r="Z41" s="71">
        <f t="shared" si="3"/>
        <v>0</v>
      </c>
      <c r="AA41" s="70">
        <f t="shared" si="21"/>
        <v>0</v>
      </c>
      <c r="AB41" s="55" t="s">
        <v>50</v>
      </c>
      <c r="AC41" s="56" t="s">
        <v>48</v>
      </c>
      <c r="AD41" s="56"/>
      <c r="AE41" s="56" t="s">
        <v>51</v>
      </c>
      <c r="AF41" s="126"/>
      <c r="AG41" s="130"/>
      <c r="AH41" s="108">
        <f t="shared" si="5"/>
        <v>0</v>
      </c>
    </row>
    <row r="42" spans="2:34" ht="10.5" x14ac:dyDescent="0.25">
      <c r="B42" s="89" t="e">
        <f>VLOOKUP(WEEKDAY(C42),'DNU - Lookups'!$A$3:$B$9,2,FALSE)</f>
        <v>#VALUE!</v>
      </c>
      <c r="C42" s="53" t="str">
        <f>$J$6</f>
        <v>21/09/2019</v>
      </c>
      <c r="D42" s="54"/>
      <c r="E42" s="88"/>
      <c r="F42" s="90"/>
      <c r="G42" s="90"/>
      <c r="H42" s="91">
        <f t="shared" si="11"/>
        <v>0</v>
      </c>
      <c r="I42" s="87"/>
      <c r="J42" s="68"/>
      <c r="K42" s="69"/>
      <c r="L42" s="125"/>
      <c r="M42" s="70">
        <f t="shared" si="15"/>
        <v>0</v>
      </c>
      <c r="N42" s="68"/>
      <c r="O42" s="69"/>
      <c r="P42" s="69"/>
      <c r="Q42" s="69"/>
      <c r="R42" s="69"/>
      <c r="S42" s="69"/>
      <c r="T42" s="69"/>
      <c r="U42" s="69"/>
      <c r="V42" s="69"/>
      <c r="W42" s="69"/>
      <c r="X42" s="69"/>
      <c r="Y42" s="129"/>
      <c r="Z42" s="71">
        <f>Y42*$Z$21</f>
        <v>0</v>
      </c>
      <c r="AA42" s="70">
        <f t="shared" si="13"/>
        <v>0</v>
      </c>
      <c r="AB42" s="55" t="s">
        <v>50</v>
      </c>
      <c r="AC42" s="56" t="s">
        <v>48</v>
      </c>
      <c r="AD42" s="56"/>
      <c r="AE42" s="56" t="s">
        <v>51</v>
      </c>
      <c r="AF42" s="126"/>
      <c r="AG42" s="130"/>
      <c r="AH42" s="108">
        <f t="shared" si="5"/>
        <v>0</v>
      </c>
    </row>
    <row r="43" spans="2:34" ht="11" thickBot="1" x14ac:dyDescent="0.3">
      <c r="B43" s="35" t="e">
        <f>VLOOKUP(WEEKDAY(C43),'DNU - Lookups'!$A$3:$B$9,2,FALSE)</f>
        <v>#VALUE!</v>
      </c>
      <c r="C43" s="57" t="str">
        <f>(J6)</f>
        <v>21/09/2019</v>
      </c>
      <c r="D43" s="58"/>
      <c r="E43" s="92"/>
      <c r="F43" s="123"/>
      <c r="G43" s="59"/>
      <c r="H43" s="93"/>
      <c r="I43" s="94">
        <f>F43*H43</f>
        <v>0</v>
      </c>
      <c r="J43" s="72"/>
      <c r="K43" s="73"/>
      <c r="L43" s="74"/>
      <c r="M43" s="95">
        <f t="shared" ref="M43" si="23">SUM(J43:L43)</f>
        <v>0</v>
      </c>
      <c r="N43" s="72"/>
      <c r="O43" s="73"/>
      <c r="P43" s="73"/>
      <c r="Q43" s="73"/>
      <c r="R43" s="73"/>
      <c r="S43" s="73"/>
      <c r="T43" s="73"/>
      <c r="U43" s="73"/>
      <c r="V43" s="73"/>
      <c r="W43" s="73"/>
      <c r="X43" s="73"/>
      <c r="Y43" s="83"/>
      <c r="Z43" s="75"/>
      <c r="AA43" s="70">
        <f t="shared" ref="AA43" si="24">SUM(M43,N43:X43,Z43)</f>
        <v>0</v>
      </c>
      <c r="AB43" s="60" t="s">
        <v>50</v>
      </c>
      <c r="AC43" s="61" t="s">
        <v>48</v>
      </c>
      <c r="AD43" s="61"/>
      <c r="AE43" s="56" t="s">
        <v>51</v>
      </c>
      <c r="AF43" s="62"/>
      <c r="AG43" s="131"/>
      <c r="AH43" s="108">
        <f t="shared" si="5"/>
        <v>0</v>
      </c>
    </row>
    <row r="44" spans="2:34" ht="15" thickBot="1" x14ac:dyDescent="0.4">
      <c r="J44" s="76">
        <f t="shared" ref="J44:X44" si="25">SUM(J22:J43)</f>
        <v>0</v>
      </c>
      <c r="K44" s="76">
        <f t="shared" si="25"/>
        <v>0</v>
      </c>
      <c r="L44" s="76">
        <f t="shared" si="25"/>
        <v>72.41</v>
      </c>
      <c r="M44" s="76">
        <f t="shared" si="25"/>
        <v>72.41</v>
      </c>
      <c r="N44" s="76">
        <f t="shared" si="25"/>
        <v>756</v>
      </c>
      <c r="O44" s="76">
        <f t="shared" si="25"/>
        <v>0</v>
      </c>
      <c r="P44" s="76">
        <f t="shared" si="25"/>
        <v>1296.03</v>
      </c>
      <c r="Q44" s="76">
        <f t="shared" si="25"/>
        <v>65.400000000000006</v>
      </c>
      <c r="R44" s="76">
        <f t="shared" si="25"/>
        <v>0</v>
      </c>
      <c r="S44" s="76">
        <f t="shared" si="25"/>
        <v>0</v>
      </c>
      <c r="T44" s="76">
        <f t="shared" si="25"/>
        <v>188</v>
      </c>
      <c r="U44" s="76">
        <f t="shared" si="25"/>
        <v>0</v>
      </c>
      <c r="V44" s="76">
        <f t="shared" si="25"/>
        <v>0</v>
      </c>
      <c r="W44" s="76">
        <f t="shared" si="25"/>
        <v>28.42</v>
      </c>
      <c r="X44" s="76">
        <f t="shared" si="25"/>
        <v>0</v>
      </c>
      <c r="Y44" s="77"/>
      <c r="Z44" s="76">
        <f>SUM(Z22:Z43)</f>
        <v>0</v>
      </c>
      <c r="AA44" s="78">
        <f>SUM(AA22:AA43)</f>
        <v>2406.2599999999998</v>
      </c>
      <c r="AH44"/>
    </row>
    <row r="46" spans="2:34" ht="10.5" x14ac:dyDescent="0.25">
      <c r="J46" s="12"/>
      <c r="N46" s="81"/>
      <c r="Q46" s="13"/>
      <c r="V46" s="38" t="s">
        <v>52</v>
      </c>
    </row>
    <row r="47" spans="2:34" ht="10.5" x14ac:dyDescent="0.25">
      <c r="V47" s="14" t="s">
        <v>53</v>
      </c>
      <c r="W47" s="79">
        <f>SUM(AA22:AA43)</f>
        <v>2406.2599999999998</v>
      </c>
      <c r="X47" s="6" t="s">
        <v>54</v>
      </c>
    </row>
    <row r="48" spans="2:34" ht="10.5" x14ac:dyDescent="0.25">
      <c r="V48" s="14" t="s">
        <v>55</v>
      </c>
      <c r="W48" s="79">
        <f>SUMIF(AC22:AC43,"Utopia Corporate Card",AA22:AA43)</f>
        <v>0</v>
      </c>
      <c r="X48" s="6" t="s">
        <v>54</v>
      </c>
      <c r="AA48" s="81"/>
    </row>
    <row r="49" spans="2:24" ht="10.5" x14ac:dyDescent="0.25">
      <c r="V49" s="14" t="s">
        <v>56</v>
      </c>
      <c r="W49" s="79">
        <f>SUMIF(AC22:AC43,"OTHERS Corporate Card",AA22:AA43)</f>
        <v>0</v>
      </c>
      <c r="X49" s="6" t="s">
        <v>54</v>
      </c>
    </row>
    <row r="50" spans="2:24" ht="11" thickBot="1" x14ac:dyDescent="0.3">
      <c r="V50" s="36" t="s">
        <v>57</v>
      </c>
      <c r="W50" s="80">
        <v>0</v>
      </c>
      <c r="X50" s="37" t="s">
        <v>58</v>
      </c>
    </row>
    <row r="51" spans="2:24" ht="11" thickBot="1" x14ac:dyDescent="0.3">
      <c r="B51" s="63"/>
      <c r="C51" s="1" t="s">
        <v>59</v>
      </c>
      <c r="V51" s="14" t="s">
        <v>60</v>
      </c>
      <c r="W51" s="79">
        <f>W47-W48-W49-W50</f>
        <v>2406.2599999999998</v>
      </c>
      <c r="X51" s="6"/>
    </row>
    <row r="52" spans="2:24" x14ac:dyDescent="0.2">
      <c r="W52" s="81"/>
    </row>
    <row r="53" spans="2:24" ht="10.5" x14ac:dyDescent="0.25">
      <c r="B53" s="1" t="s">
        <v>61</v>
      </c>
      <c r="V53" s="38" t="s">
        <v>62</v>
      </c>
      <c r="W53" s="81"/>
    </row>
    <row r="54" spans="2:24" ht="10.5" x14ac:dyDescent="0.25">
      <c r="V54" s="14" t="s">
        <v>63</v>
      </c>
      <c r="W54" s="79">
        <f>SUMIF(AC22:AC43,"Personal Card/Cash",AA22:AA43)</f>
        <v>2406.2599999999998</v>
      </c>
      <c r="X54" s="6" t="s">
        <v>54</v>
      </c>
    </row>
    <row r="55" spans="2:24" x14ac:dyDescent="0.2">
      <c r="W55" s="81"/>
    </row>
    <row r="56" spans="2:24" x14ac:dyDescent="0.2">
      <c r="W56" s="81"/>
    </row>
    <row r="57" spans="2:24" ht="10.5" x14ac:dyDescent="0.25">
      <c r="V57" s="14" t="s">
        <v>64</v>
      </c>
      <c r="W57" s="79">
        <f>SUMIF(AE22:AE43,"Client Exp",AA22:AA43)</f>
        <v>0</v>
      </c>
      <c r="X57" s="6" t="s">
        <v>54</v>
      </c>
    </row>
    <row r="58" spans="2:24" ht="10.5" x14ac:dyDescent="0.25">
      <c r="V58" s="14" t="s">
        <v>65</v>
      </c>
      <c r="W58" s="79">
        <f>SUMIF(AE29:AE44,"Utopia Exp",AA29:AA44)</f>
        <v>72.41</v>
      </c>
      <c r="X58" s="6" t="s">
        <v>54</v>
      </c>
    </row>
    <row r="244" spans="24:27" s="16" customFormat="1" x14ac:dyDescent="0.2"/>
    <row r="245" spans="24:27" s="16" customFormat="1" x14ac:dyDescent="0.2">
      <c r="X245" s="16" t="s">
        <v>47</v>
      </c>
      <c r="Y245" s="16" t="s">
        <v>48</v>
      </c>
      <c r="Z245" s="16" t="s">
        <v>66</v>
      </c>
      <c r="AA245" s="16" t="s">
        <v>51</v>
      </c>
    </row>
    <row r="246" spans="24:27" s="16" customFormat="1" x14ac:dyDescent="0.2">
      <c r="X246" s="16" t="s">
        <v>50</v>
      </c>
      <c r="Y246" s="16" t="s">
        <v>67</v>
      </c>
      <c r="Z246" s="16" t="s">
        <v>68</v>
      </c>
      <c r="AA246" s="16" t="s">
        <v>49</v>
      </c>
    </row>
    <row r="247" spans="24:27" s="16" customFormat="1" x14ac:dyDescent="0.2">
      <c r="Y247" s="16" t="s">
        <v>69</v>
      </c>
    </row>
    <row r="248" spans="24:27" s="16" customFormat="1" x14ac:dyDescent="0.2"/>
  </sheetData>
  <mergeCells count="13">
    <mergeCell ref="D3:AF3"/>
    <mergeCell ref="B6:D6"/>
    <mergeCell ref="J6:K6"/>
    <mergeCell ref="C7:D7"/>
    <mergeCell ref="C8:D8"/>
    <mergeCell ref="R8:T8"/>
    <mergeCell ref="F19:I19"/>
    <mergeCell ref="C9:D9"/>
    <mergeCell ref="C10:D10"/>
    <mergeCell ref="C11:D11"/>
    <mergeCell ref="C12:D12"/>
    <mergeCell ref="C13:D13"/>
    <mergeCell ref="C15:D15"/>
  </mergeCells>
  <dataValidations count="4">
    <dataValidation type="list" allowBlank="1" showInputMessage="1" showErrorMessage="1" sqref="AE22:AE43" xr:uid="{00000000-0002-0000-0000-000000000000}">
      <formula1>$AA$245:$AA$246</formula1>
    </dataValidation>
    <dataValidation type="list" allowBlank="1" showInputMessage="1" showErrorMessage="1" sqref="AC43 AC22:AC34" xr:uid="{00000000-0002-0000-0000-000001000000}">
      <formula1>$Y$245:$Y$247</formula1>
    </dataValidation>
    <dataValidation type="list" allowBlank="1" showInputMessage="1" showErrorMessage="1" sqref="AB22:AB43" xr:uid="{00000000-0002-0000-0000-000002000000}">
      <formula1>$X$245:$X$246</formula1>
    </dataValidation>
    <dataValidation type="list" allowBlank="1" showInputMessage="1" showErrorMessage="1" sqref="AC35:AC42" xr:uid="{00000000-0002-0000-0000-000003000000}">
      <formula1>$Y$241:$Y$243</formula1>
    </dataValidation>
  </dataValidations>
  <hyperlinks>
    <hyperlink ref="F15" r:id="rId1" xr:uid="{00000000-0004-0000-0000-000000000000}"/>
  </hyperlinks>
  <pageMargins left="0.2" right="0.2" top="0.75" bottom="0.75" header="0.3" footer="0.3"/>
  <pageSetup paperSize="5" scale="82" orientation="landscape"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
  <sheetViews>
    <sheetView workbookViewId="0">
      <selection activeCell="F3" sqref="F3"/>
    </sheetView>
  </sheetViews>
  <sheetFormatPr defaultRowHeight="14.5" x14ac:dyDescent="0.35"/>
  <sheetData>
    <row r="1" spans="1:6" ht="43.5" x14ac:dyDescent="0.35">
      <c r="C1" t="s">
        <v>99</v>
      </c>
      <c r="D1" s="18" t="s">
        <v>101</v>
      </c>
      <c r="E1" t="s">
        <v>100</v>
      </c>
      <c r="F1" s="18" t="s">
        <v>102</v>
      </c>
    </row>
    <row r="2" spans="1:6" x14ac:dyDescent="0.35">
      <c r="B2" t="s">
        <v>103</v>
      </c>
      <c r="C2">
        <v>1.2303999999999999</v>
      </c>
      <c r="D2" s="18">
        <v>1.2641932050031046</v>
      </c>
      <c r="E2">
        <f>IF(ISBLANK(D2),"",(D2-C2)/C2)</f>
        <v>2.7465218630611733E-2</v>
      </c>
      <c r="F2" s="18"/>
    </row>
    <row r="3" spans="1:6" x14ac:dyDescent="0.35">
      <c r="A3">
        <v>1</v>
      </c>
      <c r="B3" t="s">
        <v>70</v>
      </c>
      <c r="C3">
        <v>1.2434000000000001</v>
      </c>
      <c r="E3">
        <f t="shared" ref="E3:E9" si="0">IF(ISBLANK(D3),E2,(D3-C3)/C3)</f>
        <v>2.7465218630611733E-2</v>
      </c>
      <c r="F3">
        <f t="shared" ref="F3:F6" si="1">IF(ISBLANK(C3),"",IF(ISBLANK(D3),C3*(1+E3),D3))</f>
        <v>1.2775502528453027</v>
      </c>
    </row>
    <row r="4" spans="1:6" x14ac:dyDescent="0.35">
      <c r="A4">
        <v>2</v>
      </c>
      <c r="B4" t="s">
        <v>71</v>
      </c>
      <c r="C4">
        <v>1.2536</v>
      </c>
      <c r="E4">
        <f t="shared" si="0"/>
        <v>2.7465218630611733E-2</v>
      </c>
      <c r="F4">
        <f t="shared" si="1"/>
        <v>1.2880303980753349</v>
      </c>
    </row>
    <row r="5" spans="1:6" x14ac:dyDescent="0.35">
      <c r="A5">
        <v>3</v>
      </c>
      <c r="B5" t="s">
        <v>72</v>
      </c>
      <c r="C5">
        <v>1.2504</v>
      </c>
      <c r="E5">
        <f t="shared" si="0"/>
        <v>2.7465218630611733E-2</v>
      </c>
      <c r="F5">
        <f t="shared" si="1"/>
        <v>1.2847425093757168</v>
      </c>
    </row>
    <row r="6" spans="1:6" x14ac:dyDescent="0.35">
      <c r="A6">
        <v>4</v>
      </c>
      <c r="B6" t="s">
        <v>73</v>
      </c>
      <c r="C6">
        <v>1.2565999999999999</v>
      </c>
      <c r="E6">
        <f t="shared" si="0"/>
        <v>2.7465218630611733E-2</v>
      </c>
      <c r="F6">
        <f t="shared" si="1"/>
        <v>1.2911127937312266</v>
      </c>
    </row>
    <row r="7" spans="1:6" x14ac:dyDescent="0.35">
      <c r="A7">
        <v>5</v>
      </c>
      <c r="B7" t="s">
        <v>74</v>
      </c>
      <c r="C7">
        <v>1.2589999999999999</v>
      </c>
      <c r="E7">
        <f t="shared" si="0"/>
        <v>2.7465218630611733E-2</v>
      </c>
      <c r="F7">
        <f>IF(ISBLANK(C7),"",IF(ISBLANK(D7),C7*(1+E7),D7))</f>
        <v>1.29357871025594</v>
      </c>
    </row>
    <row r="8" spans="1:6" x14ac:dyDescent="0.35">
      <c r="A8">
        <v>6</v>
      </c>
      <c r="B8" t="s">
        <v>75</v>
      </c>
      <c r="C8">
        <v>1.2583</v>
      </c>
      <c r="E8">
        <f t="shared" si="0"/>
        <v>2.7465218630611733E-2</v>
      </c>
      <c r="F8">
        <f t="shared" ref="F8:F9" si="2">IF(ISBLANK(C8),"",IF(ISBLANK(D8),C8*(1+E8),D8))</f>
        <v>1.2928594846028987</v>
      </c>
    </row>
    <row r="9" spans="1:6" x14ac:dyDescent="0.35">
      <c r="A9">
        <v>7</v>
      </c>
      <c r="B9" t="s">
        <v>76</v>
      </c>
      <c r="C9">
        <v>1.2583</v>
      </c>
      <c r="E9">
        <f t="shared" si="0"/>
        <v>2.7465218630611733E-2</v>
      </c>
      <c r="F9">
        <f t="shared" si="2"/>
        <v>1.2928594846028987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6"/>
  <sheetViews>
    <sheetView workbookViewId="0">
      <selection activeCell="C13" sqref="C13"/>
    </sheetView>
  </sheetViews>
  <sheetFormatPr defaultColWidth="84.453125" defaultRowHeight="14.5" x14ac:dyDescent="0.35"/>
  <cols>
    <col min="1" max="1" width="2.7265625" style="20" customWidth="1"/>
    <col min="2" max="2" width="113.1796875" style="18" customWidth="1"/>
    <col min="3" max="3" width="84.453125" style="20"/>
  </cols>
  <sheetData>
    <row r="1" spans="1:3" ht="15" thickBot="1" x14ac:dyDescent="0.4">
      <c r="A1" s="19"/>
      <c r="B1" s="24"/>
      <c r="C1" s="19"/>
    </row>
    <row r="2" spans="1:3" x14ac:dyDescent="0.35">
      <c r="B2" s="21" t="s">
        <v>77</v>
      </c>
    </row>
    <row r="3" spans="1:3" x14ac:dyDescent="0.35">
      <c r="B3" s="22"/>
    </row>
    <row r="4" spans="1:3" x14ac:dyDescent="0.35">
      <c r="A4" s="25"/>
      <c r="B4" s="27" t="s">
        <v>78</v>
      </c>
      <c r="C4" s="26"/>
    </row>
    <row r="5" spans="1:3" x14ac:dyDescent="0.35">
      <c r="A5" s="25"/>
      <c r="B5" s="28"/>
      <c r="C5" s="26"/>
    </row>
    <row r="6" spans="1:3" x14ac:dyDescent="0.35">
      <c r="A6" s="25"/>
      <c r="B6" s="28" t="s">
        <v>79</v>
      </c>
      <c r="C6" s="26"/>
    </row>
    <row r="7" spans="1:3" x14ac:dyDescent="0.35">
      <c r="A7" s="25"/>
      <c r="B7" s="28"/>
      <c r="C7" s="26"/>
    </row>
    <row r="8" spans="1:3" ht="43.5" x14ac:dyDescent="0.35">
      <c r="A8" s="25"/>
      <c r="B8" s="29" t="s">
        <v>80</v>
      </c>
      <c r="C8" s="26"/>
    </row>
    <row r="9" spans="1:3" x14ac:dyDescent="0.35">
      <c r="B9" s="22"/>
    </row>
    <row r="10" spans="1:3" x14ac:dyDescent="0.35">
      <c r="B10" s="23" t="s">
        <v>81</v>
      </c>
    </row>
    <row r="11" spans="1:3" x14ac:dyDescent="0.35">
      <c r="B11" s="23"/>
    </row>
    <row r="12" spans="1:3" x14ac:dyDescent="0.35">
      <c r="B12" s="22" t="s">
        <v>82</v>
      </c>
    </row>
    <row r="13" spans="1:3" x14ac:dyDescent="0.35">
      <c r="B13" s="22"/>
    </row>
    <row r="14" spans="1:3" x14ac:dyDescent="0.35">
      <c r="B14" s="22" t="s">
        <v>83</v>
      </c>
    </row>
    <row r="15" spans="1:3" x14ac:dyDescent="0.35">
      <c r="B15" s="22"/>
    </row>
    <row r="16" spans="1:3" ht="29" x14ac:dyDescent="0.35">
      <c r="B16" s="22" t="s">
        <v>84</v>
      </c>
    </row>
    <row r="17" spans="2:2" x14ac:dyDescent="0.35">
      <c r="B17" s="22"/>
    </row>
    <row r="18" spans="2:2" x14ac:dyDescent="0.35">
      <c r="B18" s="22" t="s">
        <v>85</v>
      </c>
    </row>
    <row r="19" spans="2:2" x14ac:dyDescent="0.35">
      <c r="B19" s="22"/>
    </row>
    <row r="20" spans="2:2" x14ac:dyDescent="0.35">
      <c r="B20" s="22" t="s">
        <v>86</v>
      </c>
    </row>
    <row r="21" spans="2:2" x14ac:dyDescent="0.35">
      <c r="B21" s="22"/>
    </row>
    <row r="22" spans="2:2" x14ac:dyDescent="0.35">
      <c r="B22" s="22" t="s">
        <v>87</v>
      </c>
    </row>
    <row r="23" spans="2:2" x14ac:dyDescent="0.35">
      <c r="B23" s="22"/>
    </row>
    <row r="24" spans="2:2" x14ac:dyDescent="0.35">
      <c r="B24" s="22" t="s">
        <v>88</v>
      </c>
    </row>
    <row r="25" spans="2:2" x14ac:dyDescent="0.35">
      <c r="B25" s="22"/>
    </row>
    <row r="26" spans="2:2" ht="29" x14ac:dyDescent="0.35">
      <c r="B26" s="22" t="s">
        <v>89</v>
      </c>
    </row>
    <row r="27" spans="2:2" x14ac:dyDescent="0.35">
      <c r="B27" s="22"/>
    </row>
    <row r="28" spans="2:2" x14ac:dyDescent="0.35">
      <c r="B28" s="22" t="s">
        <v>90</v>
      </c>
    </row>
    <row r="29" spans="2:2" x14ac:dyDescent="0.35">
      <c r="B29" s="22"/>
    </row>
    <row r="30" spans="2:2" x14ac:dyDescent="0.35">
      <c r="B30" s="22" t="s">
        <v>91</v>
      </c>
    </row>
    <row r="31" spans="2:2" x14ac:dyDescent="0.35">
      <c r="B31" s="22"/>
    </row>
    <row r="32" spans="2:2" x14ac:dyDescent="0.35">
      <c r="B32" s="22" t="s">
        <v>92</v>
      </c>
    </row>
    <row r="33" spans="2:2" x14ac:dyDescent="0.35">
      <c r="B33" s="22"/>
    </row>
    <row r="34" spans="2:2" ht="29" x14ac:dyDescent="0.35">
      <c r="B34" s="22" t="s">
        <v>93</v>
      </c>
    </row>
    <row r="35" spans="2:2" x14ac:dyDescent="0.35">
      <c r="B35" s="22"/>
    </row>
    <row r="36" spans="2:2" ht="43.5" x14ac:dyDescent="0.35">
      <c r="B36" s="22" t="s">
        <v>94</v>
      </c>
    </row>
    <row r="37" spans="2:2" x14ac:dyDescent="0.35">
      <c r="B37" s="22"/>
    </row>
    <row r="38" spans="2:2" ht="29" x14ac:dyDescent="0.35">
      <c r="B38" s="22" t="s">
        <v>95</v>
      </c>
    </row>
    <row r="39" spans="2:2" x14ac:dyDescent="0.35">
      <c r="B39" s="22"/>
    </row>
    <row r="40" spans="2:2" ht="29" x14ac:dyDescent="0.35">
      <c r="B40" s="22" t="s">
        <v>96</v>
      </c>
    </row>
    <row r="41" spans="2:2" x14ac:dyDescent="0.35">
      <c r="B41" s="22"/>
    </row>
    <row r="42" spans="2:2" x14ac:dyDescent="0.35">
      <c r="B42" s="22" t="s">
        <v>97</v>
      </c>
    </row>
    <row r="43" spans="2:2" x14ac:dyDescent="0.35">
      <c r="B43" s="22"/>
    </row>
    <row r="44" spans="2:2" ht="29" x14ac:dyDescent="0.35">
      <c r="B44" s="22" t="s">
        <v>98</v>
      </c>
    </row>
    <row r="45" spans="2:2" ht="15" thickBot="1" x14ac:dyDescent="0.4">
      <c r="B45" s="22"/>
    </row>
    <row r="46" spans="2:2" ht="15" thickBot="1" x14ac:dyDescent="0.4">
      <c r="B46" s="2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EB5915B672FA47A4417814D5980967" ma:contentTypeVersion="13" ma:contentTypeDescription="Create a new document." ma:contentTypeScope="" ma:versionID="4a16b531a4affacb9f3842fdd4cbb195">
  <xsd:schema xmlns:xsd="http://www.w3.org/2001/XMLSchema" xmlns:xs="http://www.w3.org/2001/XMLSchema" xmlns:p="http://schemas.microsoft.com/office/2006/metadata/properties" xmlns:ns3="d01dfe92-b963-46f4-aeac-4e644f3a2f33" xmlns:ns4="04498954-98d5-4903-8924-c3a8d35b2034" targetNamespace="http://schemas.microsoft.com/office/2006/metadata/properties" ma:root="true" ma:fieldsID="707618443a18d235cf45c1eda9b1ed6b" ns3:_="" ns4:_="">
    <xsd:import namespace="d01dfe92-b963-46f4-aeac-4e644f3a2f33"/>
    <xsd:import namespace="04498954-98d5-4903-8924-c3a8d35b203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1dfe92-b963-46f4-aeac-4e644f3a2f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498954-98d5-4903-8924-c3a8d35b203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BD89B4-EA58-49AD-98E3-9AB7C2E785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1dfe92-b963-46f4-aeac-4e644f3a2f33"/>
    <ds:schemaRef ds:uri="04498954-98d5-4903-8924-c3a8d35b20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A3FD75-E4FB-48CD-95EE-A69D6C672899}">
  <ds:schemaRefs>
    <ds:schemaRef ds:uri="http://schemas.microsoft.com/sharepoint/v3/contenttype/forms"/>
  </ds:schemaRefs>
</ds:datastoreItem>
</file>

<file path=customXml/itemProps3.xml><?xml version="1.0" encoding="utf-8"?>
<ds:datastoreItem xmlns:ds="http://schemas.openxmlformats.org/officeDocument/2006/customXml" ds:itemID="{567AB1DB-0548-4429-835E-70E53B881A70}">
  <ds:schemaRefs>
    <ds:schemaRef ds:uri="http://schemas.microsoft.com/office/2006/documentManagement/types"/>
    <ds:schemaRef ds:uri="http://purl.org/dc/elements/1.1/"/>
    <ds:schemaRef ds:uri="http://www.w3.org/XML/1998/namespace"/>
    <ds:schemaRef ds:uri="d01dfe92-b963-46f4-aeac-4e644f3a2f33"/>
    <ds:schemaRef ds:uri="http://schemas.microsoft.com/office/infopath/2007/PartnerControls"/>
    <ds:schemaRef ds:uri="http://purl.org/dc/terms/"/>
    <ds:schemaRef ds:uri="http://schemas.microsoft.com/office/2006/metadata/properties"/>
    <ds:schemaRef ds:uri="http://schemas.openxmlformats.org/package/2006/metadata/core-properties"/>
    <ds:schemaRef ds:uri="04498954-98d5-4903-8924-c3a8d35b203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Travel and Expense</vt:lpstr>
      <vt:lpstr>DNU - Lookups</vt:lpstr>
      <vt:lpstr>GUIDELINES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0165</dc:creator>
  <cp:keywords/>
  <dc:description/>
  <cp:lastModifiedBy>Carla Cook (Contractor)</cp:lastModifiedBy>
  <cp:revision/>
  <dcterms:created xsi:type="dcterms:W3CDTF">2010-06-18T10:46:42Z</dcterms:created>
  <dcterms:modified xsi:type="dcterms:W3CDTF">2019-10-14T22:12:17Z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0x010100A6EB5915B672FA47A4417814D5980967</vt:lpwstr>
  </property>
</Properties>
</file>